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charts/colors5.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charts/style5.xml" ContentType="application/vnd.ms-office.chartstyle+xml"/>
  <Override PartName="/xl/charts/chart5.xml" ContentType="application/vnd.openxmlformats-officedocument.drawingml.chart+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theme/theme1.xml" ContentType="application/vnd.openxmlformats-officedocument.theme+xml"/>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slicers/slicer2.xml" ContentType="application/vnd.ms-excel.slicer+xml"/>
  <Override PartName="/xl/slicerCaches/slicerCache2.xml" ContentType="application/vnd.ms-excel.slicerCache+xml"/>
  <Override PartName="/xl/slicerCaches/slicerCache1.xml" ContentType="application/vnd.ms-excel.slicerCach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chart3.xml" ContentType="application/vnd.openxmlformats-officedocument.drawingml.chart+xml"/>
  <Override PartName="/xl/worksheets/sheet9.xml" ContentType="application/vnd.openxmlformats-officedocument.spreadsheetml.worksheet+xml"/>
  <Override PartName="/xl/worksheets/sheet10.xml" ContentType="application/vnd.openxmlformats-officedocument.spreadsheetml.worksheet+xml"/>
  <Override PartName="/xl/charts/style3.xml" ContentType="application/vnd.ms-office.chartstyle+xml"/>
  <Override PartName="/xl/charts/colors3.xml" ContentType="application/vnd.ms-office.chartcolorstyle+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app.xml" ContentType="application/vnd.openxmlformats-officedocument.extended-propertie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tables/table3.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tables/table4.xml" ContentType="application/vnd.openxmlformats-officedocument.spreadsheetml.table+xml"/>
  <Override PartName="/xl/tables/table2.xml" ContentType="application/vnd.openxmlformats-officedocument.spreadsheetml.table+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hidePivotFieldList="1" defaultThemeVersion="166925"/>
  <mc:AlternateContent xmlns:mc="http://schemas.openxmlformats.org/markup-compatibility/2006">
    <mc:Choice Requires="x15">
      <x15ac:absPath xmlns:x15ac="http://schemas.microsoft.com/office/spreadsheetml/2010/11/ac" url="Y:\Unit_MAT\_IDEM\Reftaak\BBT-studies in voorbereiding\BBT Opslag gevaarlijke producten\_Eindrapport\"/>
    </mc:Choice>
  </mc:AlternateContent>
  <xr:revisionPtr revIDLastSave="0" documentId="13_ncr:1_{03580FFA-588C-4854-90EB-DDBEB3A72FB8}" xr6:coauthVersionLast="36" xr6:coauthVersionMax="36" xr10:uidLastSave="{00000000-0000-0000-0000-000000000000}"/>
  <bookViews>
    <workbookView xWindow="0" yWindow="0" windowWidth="17700" windowHeight="8085" tabRatio="801" firstSheet="2" activeTab="8" xr2:uid="{00000000-000D-0000-FFFF-FFFF00000000}"/>
  </bookViews>
  <sheets>
    <sheet name="Grafiek volume" sheetId="6" r:id="rId1"/>
    <sheet name="Pivot volume" sheetId="17" r:id="rId2"/>
    <sheet name="Grafiek oppervlakte" sheetId="7" r:id="rId3"/>
    <sheet name="1. Volume inkuiping" sheetId="18" r:id="rId4"/>
    <sheet name="2. Oppervlakte inkuiping" sheetId="19" r:id="rId5"/>
    <sheet name="3. Volume volgens brutovolume" sheetId="20" r:id="rId6"/>
    <sheet name="4. Opp. volgens brutovolume" sheetId="21" r:id="rId7"/>
    <sheet name="5. Vloeistofstraal één tank" sheetId="22" r:id="rId8"/>
    <sheet name="6. Vloeistofstraal vier tanks" sheetId="23" r:id="rId9"/>
    <sheet name="7.Vloeistofstraal IBC op hoogte" sheetId="24" r:id="rId10"/>
    <sheet name="8.Vloeistofstraal tankcontainer" sheetId="25" r:id="rId11"/>
  </sheets>
  <definedNames>
    <definedName name="Slicer_Aantal_tanks">#N/A</definedName>
    <definedName name="Slicer_Aantal_tanks1">#N/A</definedName>
  </definedNames>
  <calcPr calcId="191029"/>
  <pivotCaches>
    <pivotCache cacheId="0" r:id="rId12"/>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3" i="25" l="1"/>
  <c r="D13" i="25" s="1"/>
  <c r="C14" i="25"/>
  <c r="D14" i="25" s="1"/>
  <c r="C15" i="25"/>
  <c r="D15" i="25" s="1"/>
  <c r="C16" i="25"/>
  <c r="D16" i="25" s="1"/>
  <c r="C17" i="25"/>
  <c r="D17" i="25" s="1"/>
  <c r="C18" i="25"/>
  <c r="C19" i="25"/>
  <c r="D19" i="25" s="1"/>
  <c r="C20" i="25"/>
  <c r="D20" i="25" s="1"/>
  <c r="C21" i="25"/>
  <c r="D21" i="25" s="1"/>
  <c r="C22" i="25"/>
  <c r="C23" i="25"/>
  <c r="D23" i="25" s="1"/>
  <c r="C24" i="25"/>
  <c r="D24" i="25" s="1"/>
  <c r="C25" i="25"/>
  <c r="D25" i="25" s="1"/>
  <c r="C26" i="25"/>
  <c r="C27" i="25"/>
  <c r="D27" i="25" s="1"/>
  <c r="C28" i="25"/>
  <c r="D28" i="25" s="1"/>
  <c r="D18" i="25"/>
  <c r="D22" i="25"/>
  <c r="D26" i="25"/>
  <c r="F28" i="25"/>
  <c r="F27" i="25"/>
  <c r="F26" i="25"/>
  <c r="F25" i="25"/>
  <c r="F24" i="25"/>
  <c r="F23" i="25"/>
  <c r="F22" i="25"/>
  <c r="F21" i="25"/>
  <c r="F20" i="25"/>
  <c r="F19" i="25"/>
  <c r="F18" i="25"/>
  <c r="F17" i="25"/>
  <c r="F16" i="25"/>
  <c r="F15" i="25"/>
  <c r="F14" i="25"/>
  <c r="F13" i="25"/>
  <c r="G13" i="25"/>
  <c r="H13" i="25" s="1"/>
  <c r="B14" i="25"/>
  <c r="E14" i="25" s="1"/>
  <c r="B15" i="25"/>
  <c r="E15" i="25" s="1"/>
  <c r="B16" i="25"/>
  <c r="E16" i="25" s="1"/>
  <c r="B17" i="25"/>
  <c r="E17" i="25" s="1"/>
  <c r="B18" i="25"/>
  <c r="E18" i="25" s="1"/>
  <c r="B19" i="25"/>
  <c r="E19" i="25" s="1"/>
  <c r="B20" i="25"/>
  <c r="E20" i="25" s="1"/>
  <c r="B21" i="25"/>
  <c r="E21" i="25" s="1"/>
  <c r="B22" i="25"/>
  <c r="E22" i="25" s="1"/>
  <c r="B23" i="25"/>
  <c r="E23" i="25" s="1"/>
  <c r="B24" i="25"/>
  <c r="E24" i="25" s="1"/>
  <c r="B25" i="25"/>
  <c r="E25" i="25" s="1"/>
  <c r="B26" i="25"/>
  <c r="E26" i="25" s="1"/>
  <c r="B27" i="25"/>
  <c r="E27" i="25" s="1"/>
  <c r="B28" i="25"/>
  <c r="E28" i="25" s="1"/>
  <c r="B13" i="25"/>
  <c r="E13" i="25" s="1"/>
  <c r="G21" i="25"/>
  <c r="H21" i="25" s="1"/>
  <c r="G20" i="25"/>
  <c r="H20" i="25" s="1"/>
  <c r="G19" i="25"/>
  <c r="H19" i="25" s="1"/>
  <c r="G18" i="25"/>
  <c r="H18" i="25" s="1"/>
  <c r="G17" i="25"/>
  <c r="H17" i="25" s="1"/>
  <c r="G16" i="25"/>
  <c r="H16" i="25" s="1"/>
  <c r="G15" i="25"/>
  <c r="H15" i="25" s="1"/>
  <c r="G14" i="25"/>
  <c r="H14" i="25" s="1"/>
  <c r="E28" i="24"/>
  <c r="C28" i="24"/>
  <c r="D28" i="24" s="1"/>
  <c r="F28" i="24"/>
  <c r="F13" i="24" l="1"/>
  <c r="F14" i="24"/>
  <c r="F15" i="24"/>
  <c r="F16" i="24"/>
  <c r="F17" i="24"/>
  <c r="F18" i="24"/>
  <c r="F19" i="24"/>
  <c r="F20" i="24"/>
  <c r="F21" i="24"/>
  <c r="F22" i="24"/>
  <c r="F23" i="24"/>
  <c r="F24" i="24"/>
  <c r="F25" i="24"/>
  <c r="F26" i="24"/>
  <c r="F27" i="24"/>
  <c r="E24" i="24"/>
  <c r="C24" i="24"/>
  <c r="D24" i="24" s="1"/>
  <c r="E25" i="24"/>
  <c r="C25" i="24"/>
  <c r="D25" i="24" s="1"/>
  <c r="E26" i="24"/>
  <c r="C26" i="24"/>
  <c r="D26" i="24" s="1"/>
  <c r="E27" i="24"/>
  <c r="C27" i="24"/>
  <c r="D27" i="24" s="1"/>
  <c r="G15" i="24" l="1"/>
  <c r="H15" i="24" s="1"/>
  <c r="G16" i="24"/>
  <c r="H16" i="24" s="1"/>
  <c r="G17" i="24"/>
  <c r="H17" i="24" s="1"/>
  <c r="G18" i="24"/>
  <c r="H18" i="24" s="1"/>
  <c r="G19" i="24"/>
  <c r="H19" i="24" s="1"/>
  <c r="G20" i="24"/>
  <c r="H20" i="24" s="1"/>
  <c r="G21" i="24"/>
  <c r="H21" i="24" s="1"/>
  <c r="G13" i="24"/>
  <c r="H13" i="24" s="1"/>
  <c r="G14" i="24"/>
  <c r="H14" i="24" s="1"/>
  <c r="E23" i="24" l="1"/>
  <c r="C23" i="24"/>
  <c r="D23" i="24" s="1"/>
  <c r="E22" i="24"/>
  <c r="C22" i="24"/>
  <c r="D22" i="24" s="1"/>
  <c r="E21" i="24"/>
  <c r="C21" i="24"/>
  <c r="D21" i="24" s="1"/>
  <c r="E20" i="24"/>
  <c r="C20" i="24"/>
  <c r="D20" i="24" s="1"/>
  <c r="E19" i="24"/>
  <c r="C19" i="24"/>
  <c r="D19" i="24" s="1"/>
  <c r="E14" i="24"/>
  <c r="E15" i="24"/>
  <c r="E16" i="24"/>
  <c r="E17" i="24"/>
  <c r="E18" i="24"/>
  <c r="E13" i="24"/>
  <c r="C14" i="24"/>
  <c r="D14" i="24" s="1"/>
  <c r="C15" i="24"/>
  <c r="D15" i="24" s="1"/>
  <c r="C16" i="24"/>
  <c r="D16" i="24" s="1"/>
  <c r="C17" i="24"/>
  <c r="D17" i="24" s="1"/>
  <c r="C18" i="24"/>
  <c r="D18" i="24" s="1"/>
  <c r="C13" i="24"/>
  <c r="D13" i="24" s="1"/>
  <c r="E25" i="22"/>
  <c r="J46" i="23" l="1"/>
  <c r="O46" i="23" s="1"/>
  <c r="I46" i="23"/>
  <c r="H46" i="23"/>
  <c r="G46" i="23"/>
  <c r="L46" i="23" s="1"/>
  <c r="D46" i="23"/>
  <c r="C46" i="23"/>
  <c r="J45" i="23"/>
  <c r="I45" i="23"/>
  <c r="H45" i="23"/>
  <c r="G45" i="23"/>
  <c r="B45" i="23" s="1"/>
  <c r="E45" i="23"/>
  <c r="D45" i="23"/>
  <c r="C45" i="23"/>
  <c r="J44" i="23"/>
  <c r="I44" i="23"/>
  <c r="H44" i="23"/>
  <c r="G44" i="23"/>
  <c r="E44" i="23"/>
  <c r="D44" i="23"/>
  <c r="C44" i="23"/>
  <c r="B44" i="23"/>
  <c r="E41" i="23"/>
  <c r="J41" i="23" s="1"/>
  <c r="D41" i="23"/>
  <c r="I41" i="23" s="1"/>
  <c r="C41" i="23"/>
  <c r="H41" i="23" s="1"/>
  <c r="B41" i="23"/>
  <c r="G41" i="23" s="1"/>
  <c r="E40" i="23"/>
  <c r="J40" i="23" s="1"/>
  <c r="D40" i="23"/>
  <c r="I40" i="23" s="1"/>
  <c r="C40" i="23"/>
  <c r="H40" i="23" s="1"/>
  <c r="B40" i="23"/>
  <c r="G40" i="23" s="1"/>
  <c r="E39" i="23"/>
  <c r="J39" i="23" s="1"/>
  <c r="D39" i="23"/>
  <c r="I39" i="23" s="1"/>
  <c r="C39" i="23"/>
  <c r="H39" i="23" s="1"/>
  <c r="B39" i="23"/>
  <c r="G39" i="23" s="1"/>
  <c r="J36" i="23"/>
  <c r="I36" i="23"/>
  <c r="H36" i="23"/>
  <c r="G36" i="23"/>
  <c r="E36" i="23"/>
  <c r="D36" i="23"/>
  <c r="C36" i="23"/>
  <c r="B36" i="23"/>
  <c r="J35" i="23"/>
  <c r="I35" i="23"/>
  <c r="H35" i="23"/>
  <c r="G35" i="23"/>
  <c r="E35" i="23"/>
  <c r="D35" i="23"/>
  <c r="C35" i="23"/>
  <c r="B35" i="23"/>
  <c r="J34" i="23"/>
  <c r="I34" i="23"/>
  <c r="H34" i="23"/>
  <c r="G34" i="23"/>
  <c r="E34" i="23"/>
  <c r="D34" i="23"/>
  <c r="C34" i="23"/>
  <c r="B34" i="23"/>
  <c r="J31" i="23"/>
  <c r="I31" i="23"/>
  <c r="H31" i="23"/>
  <c r="G31" i="23"/>
  <c r="E31" i="23"/>
  <c r="D31" i="23"/>
  <c r="C31" i="23"/>
  <c r="B31" i="23"/>
  <c r="J30" i="23"/>
  <c r="I30" i="23"/>
  <c r="H30" i="23"/>
  <c r="G30" i="23"/>
  <c r="E30" i="23"/>
  <c r="D30" i="23"/>
  <c r="C30" i="23"/>
  <c r="B30" i="23"/>
  <c r="J29" i="23"/>
  <c r="I29" i="23"/>
  <c r="H29" i="23"/>
  <c r="G29" i="23"/>
  <c r="E29" i="23"/>
  <c r="D29" i="23"/>
  <c r="C29" i="23"/>
  <c r="B29" i="23"/>
  <c r="J26" i="23"/>
  <c r="I26" i="23"/>
  <c r="H26" i="23"/>
  <c r="G26" i="23"/>
  <c r="E26" i="23"/>
  <c r="D26" i="23"/>
  <c r="C26" i="23"/>
  <c r="B26" i="23"/>
  <c r="J25" i="23"/>
  <c r="I25" i="23"/>
  <c r="H25" i="23"/>
  <c r="G25" i="23"/>
  <c r="E25" i="23"/>
  <c r="D25" i="23"/>
  <c r="C25" i="23"/>
  <c r="B25" i="23"/>
  <c r="J24" i="23"/>
  <c r="I24" i="23"/>
  <c r="H24" i="23"/>
  <c r="G24" i="23"/>
  <c r="E24" i="23"/>
  <c r="D24" i="23"/>
  <c r="C24" i="23"/>
  <c r="B24" i="23"/>
  <c r="J21" i="23"/>
  <c r="I21" i="23"/>
  <c r="H21" i="23"/>
  <c r="G21" i="23"/>
  <c r="E21" i="23"/>
  <c r="D21" i="23"/>
  <c r="C21" i="23"/>
  <c r="B21" i="23"/>
  <c r="J20" i="23"/>
  <c r="I20" i="23"/>
  <c r="H20" i="23"/>
  <c r="G20" i="23"/>
  <c r="E20" i="23"/>
  <c r="D20" i="23"/>
  <c r="C20" i="23"/>
  <c r="B20" i="23"/>
  <c r="J19" i="23"/>
  <c r="I19" i="23"/>
  <c r="H19" i="23"/>
  <c r="G19" i="23"/>
  <c r="E19" i="23"/>
  <c r="D19" i="23"/>
  <c r="C19" i="23"/>
  <c r="B19" i="23"/>
  <c r="J16" i="23"/>
  <c r="I16" i="23"/>
  <c r="H16" i="23"/>
  <c r="G16" i="23"/>
  <c r="E16" i="23"/>
  <c r="D16" i="23"/>
  <c r="C16" i="23"/>
  <c r="B16" i="23"/>
  <c r="J15" i="23"/>
  <c r="I15" i="23"/>
  <c r="H15" i="23"/>
  <c r="G15" i="23"/>
  <c r="E15" i="23"/>
  <c r="D15" i="23"/>
  <c r="C15" i="23"/>
  <c r="B15" i="23"/>
  <c r="J14" i="23"/>
  <c r="I14" i="23"/>
  <c r="H14" i="23"/>
  <c r="G14" i="23"/>
  <c r="E14" i="23"/>
  <c r="D14" i="23"/>
  <c r="C14" i="23"/>
  <c r="B14" i="23"/>
  <c r="J11" i="23"/>
  <c r="O11" i="23" s="1"/>
  <c r="I11" i="23"/>
  <c r="N11" i="23" s="1"/>
  <c r="H11" i="23"/>
  <c r="M11" i="23" s="1"/>
  <c r="G11" i="23"/>
  <c r="L11" i="23" s="1"/>
  <c r="E11" i="23"/>
  <c r="D11" i="23"/>
  <c r="C11" i="23"/>
  <c r="B11" i="23"/>
  <c r="J10" i="23"/>
  <c r="O10" i="23" s="1"/>
  <c r="I10" i="23"/>
  <c r="N10" i="23" s="1"/>
  <c r="H10" i="23"/>
  <c r="M10" i="23" s="1"/>
  <c r="G10" i="23"/>
  <c r="L10" i="23" s="1"/>
  <c r="E10" i="23"/>
  <c r="D10" i="23"/>
  <c r="C10" i="23"/>
  <c r="B10" i="23"/>
  <c r="J9" i="23"/>
  <c r="O9" i="23" s="1"/>
  <c r="I9" i="23"/>
  <c r="N9" i="23" s="1"/>
  <c r="H9" i="23"/>
  <c r="M9" i="23" s="1"/>
  <c r="G9" i="23"/>
  <c r="L9" i="23" s="1"/>
  <c r="E9" i="23"/>
  <c r="D9" i="23"/>
  <c r="C9" i="23"/>
  <c r="B9" i="23"/>
  <c r="J31" i="22"/>
  <c r="I31" i="22"/>
  <c r="H31" i="22"/>
  <c r="G31" i="22"/>
  <c r="B31" i="22" s="1"/>
  <c r="E31" i="22"/>
  <c r="D31" i="22"/>
  <c r="C31" i="22"/>
  <c r="J30" i="22"/>
  <c r="I30" i="22"/>
  <c r="H30" i="22"/>
  <c r="G30" i="22"/>
  <c r="B30" i="22" s="1"/>
  <c r="E30" i="22"/>
  <c r="D30" i="22"/>
  <c r="C30" i="22"/>
  <c r="J29" i="22"/>
  <c r="I29" i="22"/>
  <c r="H29" i="22"/>
  <c r="G29" i="22"/>
  <c r="B29" i="22" s="1"/>
  <c r="E29" i="22"/>
  <c r="D29" i="22"/>
  <c r="C29" i="22"/>
  <c r="E26" i="22"/>
  <c r="J26" i="22" s="1"/>
  <c r="D26" i="22"/>
  <c r="I26" i="22" s="1"/>
  <c r="C26" i="22"/>
  <c r="H26" i="22" s="1"/>
  <c r="B26" i="22"/>
  <c r="G26" i="22" s="1"/>
  <c r="J25" i="22"/>
  <c r="D25" i="22"/>
  <c r="I25" i="22" s="1"/>
  <c r="C25" i="22"/>
  <c r="H25" i="22" s="1"/>
  <c r="B25" i="22"/>
  <c r="G25" i="22" s="1"/>
  <c r="E24" i="22"/>
  <c r="J24" i="22" s="1"/>
  <c r="D24" i="22"/>
  <c r="I24" i="22" s="1"/>
  <c r="C24" i="22"/>
  <c r="H24" i="22" s="1"/>
  <c r="B24" i="22"/>
  <c r="G24" i="22" s="1"/>
  <c r="J21" i="22"/>
  <c r="I21" i="22"/>
  <c r="H21" i="22"/>
  <c r="G21" i="22"/>
  <c r="E21" i="22"/>
  <c r="D21" i="22"/>
  <c r="C21" i="22"/>
  <c r="B21" i="22"/>
  <c r="J20" i="22"/>
  <c r="I20" i="22"/>
  <c r="H20" i="22"/>
  <c r="G20" i="22"/>
  <c r="E20" i="22"/>
  <c r="D20" i="22"/>
  <c r="C20" i="22"/>
  <c r="B20" i="22"/>
  <c r="J19" i="22"/>
  <c r="I19" i="22"/>
  <c r="H19" i="22"/>
  <c r="G19" i="22"/>
  <c r="E19" i="22"/>
  <c r="D19" i="22"/>
  <c r="C19" i="22"/>
  <c r="B19" i="22"/>
  <c r="J16" i="22"/>
  <c r="I16" i="22"/>
  <c r="H16" i="22"/>
  <c r="G16" i="22"/>
  <c r="E16" i="22"/>
  <c r="D16" i="22"/>
  <c r="C16" i="22"/>
  <c r="B16" i="22"/>
  <c r="J15" i="22"/>
  <c r="I15" i="22"/>
  <c r="H15" i="22"/>
  <c r="G15" i="22"/>
  <c r="E15" i="22"/>
  <c r="D15" i="22"/>
  <c r="C15" i="22"/>
  <c r="B15" i="22"/>
  <c r="J14" i="22"/>
  <c r="I14" i="22"/>
  <c r="H14" i="22"/>
  <c r="G14" i="22"/>
  <c r="E14" i="22"/>
  <c r="D14" i="22"/>
  <c r="C14" i="22"/>
  <c r="B14" i="22"/>
  <c r="J11" i="22"/>
  <c r="O11" i="22" s="1"/>
  <c r="I11" i="22"/>
  <c r="N11" i="22" s="1"/>
  <c r="H11" i="22"/>
  <c r="M11" i="22" s="1"/>
  <c r="G11" i="22"/>
  <c r="L11" i="22" s="1"/>
  <c r="E11" i="22"/>
  <c r="D11" i="22"/>
  <c r="C11" i="22"/>
  <c r="B11" i="22"/>
  <c r="J10" i="22"/>
  <c r="O10" i="22" s="1"/>
  <c r="I10" i="22"/>
  <c r="N10" i="22" s="1"/>
  <c r="H10" i="22"/>
  <c r="M10" i="22" s="1"/>
  <c r="G10" i="22"/>
  <c r="L10" i="22" s="1"/>
  <c r="E10" i="22"/>
  <c r="D10" i="22"/>
  <c r="C10" i="22"/>
  <c r="B10" i="22"/>
  <c r="J9" i="22"/>
  <c r="O9" i="22" s="1"/>
  <c r="I9" i="22"/>
  <c r="N9" i="22" s="1"/>
  <c r="H9" i="22"/>
  <c r="M9" i="22" s="1"/>
  <c r="G9" i="22"/>
  <c r="L9" i="22" s="1"/>
  <c r="E9" i="22"/>
  <c r="D9" i="22"/>
  <c r="C9" i="22"/>
  <c r="B9" i="22"/>
  <c r="G29" i="21"/>
  <c r="G28" i="21"/>
  <c r="G27" i="21"/>
  <c r="G26" i="21"/>
  <c r="G25" i="21"/>
  <c r="G24" i="21"/>
  <c r="G23" i="21"/>
  <c r="G22" i="21"/>
  <c r="G21" i="21"/>
  <c r="G20" i="21"/>
  <c r="C19" i="21"/>
  <c r="F18" i="21"/>
  <c r="E18" i="21"/>
  <c r="C18" i="21"/>
  <c r="I18" i="21" s="1"/>
  <c r="C5" i="21"/>
  <c r="D5" i="21" s="1"/>
  <c r="F4" i="21"/>
  <c r="E4" i="21" s="1"/>
  <c r="D4" i="21"/>
  <c r="G29" i="20"/>
  <c r="G28" i="20"/>
  <c r="G27" i="20"/>
  <c r="G26" i="20"/>
  <c r="G25" i="20"/>
  <c r="G24" i="20"/>
  <c r="G23" i="20"/>
  <c r="G22" i="20"/>
  <c r="G21" i="20"/>
  <c r="G20" i="20"/>
  <c r="H18" i="20"/>
  <c r="J18" i="20" s="1"/>
  <c r="F18" i="20"/>
  <c r="E18" i="20" s="1"/>
  <c r="C18" i="20"/>
  <c r="K18" i="20" s="1"/>
  <c r="I5" i="20"/>
  <c r="H5" i="20"/>
  <c r="O5" i="20" s="1"/>
  <c r="D5" i="20"/>
  <c r="C5" i="20"/>
  <c r="K5" i="20" s="1"/>
  <c r="K4" i="20"/>
  <c r="J4" i="20"/>
  <c r="I4" i="20"/>
  <c r="H4" i="20"/>
  <c r="O4" i="20" s="1"/>
  <c r="G4" i="20"/>
  <c r="L4" i="20" s="1"/>
  <c r="F4" i="20"/>
  <c r="E4" i="20" s="1"/>
  <c r="D4" i="20"/>
  <c r="G29" i="19"/>
  <c r="G28" i="19"/>
  <c r="G27" i="19"/>
  <c r="G26" i="19"/>
  <c r="G25" i="19"/>
  <c r="G24" i="19"/>
  <c r="G23" i="19"/>
  <c r="G22" i="19"/>
  <c r="G21" i="19"/>
  <c r="G20" i="19"/>
  <c r="K18" i="19"/>
  <c r="C18" i="19"/>
  <c r="I18" i="19" s="1"/>
  <c r="D5" i="19"/>
  <c r="C5" i="19"/>
  <c r="F4" i="19"/>
  <c r="D4" i="19"/>
  <c r="G29" i="18"/>
  <c r="G28" i="18"/>
  <c r="G27" i="18"/>
  <c r="G26" i="18"/>
  <c r="G25" i="18"/>
  <c r="G24" i="18"/>
  <c r="G23" i="18"/>
  <c r="G22" i="18"/>
  <c r="G21" i="18"/>
  <c r="G20" i="18"/>
  <c r="I18" i="18"/>
  <c r="K18" i="18" s="1"/>
  <c r="C18" i="18"/>
  <c r="L18" i="18" s="1"/>
  <c r="H5" i="18"/>
  <c r="O5" i="18" s="1"/>
  <c r="D5" i="18"/>
  <c r="C5" i="18"/>
  <c r="K4" i="18"/>
  <c r="J4" i="18"/>
  <c r="I4" i="18"/>
  <c r="H4" i="18"/>
  <c r="O4" i="18" s="1"/>
  <c r="F4" i="18"/>
  <c r="E4" i="18" s="1"/>
  <c r="D4" i="18"/>
  <c r="O14" i="22" l="1"/>
  <c r="O15" i="22"/>
  <c r="O16" i="22"/>
  <c r="O19" i="22"/>
  <c r="O20" i="22"/>
  <c r="O21" i="22"/>
  <c r="O24" i="22"/>
  <c r="O25" i="22"/>
  <c r="O26" i="22"/>
  <c r="E4" i="19"/>
  <c r="G4" i="19"/>
  <c r="L4" i="19" s="1"/>
  <c r="L19" i="21"/>
  <c r="I19" i="21"/>
  <c r="O29" i="22"/>
  <c r="O30" i="22"/>
  <c r="O31" i="22"/>
  <c r="O14" i="23"/>
  <c r="O15" i="23"/>
  <c r="O16" i="23"/>
  <c r="O19" i="23"/>
  <c r="O20" i="23"/>
  <c r="O21" i="23"/>
  <c r="O24" i="23"/>
  <c r="O25" i="23"/>
  <c r="O26" i="23"/>
  <c r="O29" i="23"/>
  <c r="O30" i="23"/>
  <c r="O31" i="23"/>
  <c r="O34" i="23"/>
  <c r="O35" i="23"/>
  <c r="O36" i="23"/>
  <c r="O39" i="23"/>
  <c r="O40" i="23"/>
  <c r="O41" i="23"/>
  <c r="O44" i="23"/>
  <c r="O45" i="23"/>
  <c r="E46" i="23"/>
  <c r="L15" i="22"/>
  <c r="L16" i="22"/>
  <c r="L19" i="22"/>
  <c r="L24" i="22"/>
  <c r="L26" i="22"/>
  <c r="L14" i="23"/>
  <c r="L16" i="23"/>
  <c r="L19" i="23"/>
  <c r="L20" i="23"/>
  <c r="L21" i="23"/>
  <c r="L24" i="23"/>
  <c r="L25" i="23"/>
  <c r="L26" i="23"/>
  <c r="L29" i="23"/>
  <c r="L30" i="23"/>
  <c r="L39" i="23"/>
  <c r="L41" i="23"/>
  <c r="L44" i="23"/>
  <c r="B46" i="23"/>
  <c r="D18" i="18"/>
  <c r="O18" i="18"/>
  <c r="F18" i="19"/>
  <c r="E18" i="19" s="1"/>
  <c r="J18" i="21"/>
  <c r="M14" i="22"/>
  <c r="M15" i="22"/>
  <c r="M16" i="22"/>
  <c r="M21" i="22"/>
  <c r="M24" i="22"/>
  <c r="M25" i="22"/>
  <c r="M26" i="22"/>
  <c r="M31" i="22"/>
  <c r="M14" i="23"/>
  <c r="M16" i="23"/>
  <c r="M19" i="23"/>
  <c r="M20" i="23"/>
  <c r="M21" i="23"/>
  <c r="M24" i="23"/>
  <c r="M25" i="23"/>
  <c r="M26" i="23"/>
  <c r="M29" i="23"/>
  <c r="M30" i="23"/>
  <c r="M31" i="23"/>
  <c r="M34" i="23"/>
  <c r="M36" i="23"/>
  <c r="M39" i="23"/>
  <c r="M40" i="23"/>
  <c r="M41" i="23"/>
  <c r="M44" i="23"/>
  <c r="M45" i="23"/>
  <c r="M46" i="23"/>
  <c r="C19" i="19"/>
  <c r="L14" i="22"/>
  <c r="L21" i="22"/>
  <c r="L25" i="22"/>
  <c r="L29" i="22"/>
  <c r="L31" i="22"/>
  <c r="L31" i="23"/>
  <c r="L34" i="23"/>
  <c r="L36" i="23"/>
  <c r="L40" i="23"/>
  <c r="L45" i="23"/>
  <c r="F18" i="18"/>
  <c r="E18" i="18" s="1"/>
  <c r="C19" i="18"/>
  <c r="I19" i="18" s="1"/>
  <c r="K19" i="18" s="1"/>
  <c r="J18" i="19"/>
  <c r="K18" i="21"/>
  <c r="N14" i="22"/>
  <c r="N15" i="22"/>
  <c r="N16" i="22"/>
  <c r="N19" i="22"/>
  <c r="N20" i="22"/>
  <c r="N21" i="22"/>
  <c r="N24" i="22"/>
  <c r="N25" i="22"/>
  <c r="N26" i="22"/>
  <c r="N29" i="22"/>
  <c r="N30" i="22"/>
  <c r="N31" i="22"/>
  <c r="N14" i="23"/>
  <c r="N15" i="23"/>
  <c r="N16" i="23"/>
  <c r="N19" i="23"/>
  <c r="N20" i="23"/>
  <c r="N21" i="23"/>
  <c r="N24" i="23"/>
  <c r="N25" i="23"/>
  <c r="N26" i="23"/>
  <c r="N29" i="23"/>
  <c r="N30" i="23"/>
  <c r="N31" i="23"/>
  <c r="N34" i="23"/>
  <c r="N35" i="23"/>
  <c r="N36" i="23"/>
  <c r="N39" i="23"/>
  <c r="N40" i="23"/>
  <c r="N41" i="23"/>
  <c r="N44" i="23"/>
  <c r="N45" i="23"/>
  <c r="N46" i="23"/>
  <c r="G4" i="18"/>
  <c r="L4" i="18" s="1"/>
  <c r="J4" i="19"/>
  <c r="I4" i="19"/>
  <c r="H4" i="19"/>
  <c r="O4" i="19" s="1"/>
  <c r="L19" i="18"/>
  <c r="C6" i="18"/>
  <c r="J5" i="18"/>
  <c r="F5" i="18"/>
  <c r="I5" i="18"/>
  <c r="K5" i="18" s="1"/>
  <c r="H18" i="18"/>
  <c r="J18" i="18" s="1"/>
  <c r="F5" i="19"/>
  <c r="C6" i="19"/>
  <c r="L20" i="22"/>
  <c r="L30" i="22"/>
  <c r="K19" i="19"/>
  <c r="L19" i="19"/>
  <c r="C19" i="20"/>
  <c r="O18" i="20"/>
  <c r="I18" i="20"/>
  <c r="D18" i="20"/>
  <c r="L18" i="20"/>
  <c r="C6" i="21"/>
  <c r="F5" i="21"/>
  <c r="M20" i="22"/>
  <c r="M29" i="22"/>
  <c r="M30" i="22"/>
  <c r="H18" i="19"/>
  <c r="O18" i="19" s="1"/>
  <c r="L18" i="19"/>
  <c r="F5" i="20"/>
  <c r="J5" i="20"/>
  <c r="C6" i="20"/>
  <c r="K19" i="21"/>
  <c r="F19" i="21"/>
  <c r="E19" i="21" s="1"/>
  <c r="C20" i="21"/>
  <c r="J19" i="21"/>
  <c r="D19" i="21"/>
  <c r="L15" i="23"/>
  <c r="L35" i="23"/>
  <c r="D18" i="19"/>
  <c r="G4" i="21"/>
  <c r="H19" i="21"/>
  <c r="O19" i="21" s="1"/>
  <c r="M19" i="22"/>
  <c r="M15" i="23"/>
  <c r="M35" i="23"/>
  <c r="H18" i="21"/>
  <c r="O18" i="21" s="1"/>
  <c r="L18" i="21"/>
  <c r="D18" i="21"/>
  <c r="I19" i="19" l="1"/>
  <c r="H19" i="19"/>
  <c r="O19" i="19" s="1"/>
  <c r="D19" i="19"/>
  <c r="J19" i="19"/>
  <c r="C20" i="19"/>
  <c r="K4" i="19"/>
  <c r="O19" i="18"/>
  <c r="C20" i="18"/>
  <c r="D20" i="18" s="1"/>
  <c r="F19" i="19"/>
  <c r="E19" i="19" s="1"/>
  <c r="H19" i="18"/>
  <c r="J19" i="18" s="1"/>
  <c r="D19" i="18"/>
  <c r="F19" i="18"/>
  <c r="E19" i="18" s="1"/>
  <c r="C7" i="18"/>
  <c r="J6" i="18"/>
  <c r="F6" i="18"/>
  <c r="H6" i="18"/>
  <c r="O6" i="18" s="1"/>
  <c r="D6" i="18"/>
  <c r="I6" i="18"/>
  <c r="K6" i="18" s="1"/>
  <c r="H20" i="18"/>
  <c r="J20" i="18" s="1"/>
  <c r="I20" i="18"/>
  <c r="K20" i="18" s="1"/>
  <c r="H6" i="20"/>
  <c r="O6" i="20" s="1"/>
  <c r="D6" i="20"/>
  <c r="K6" i="20"/>
  <c r="J6" i="20"/>
  <c r="I6" i="20"/>
  <c r="F6" i="20"/>
  <c r="C7" i="20"/>
  <c r="F6" i="21"/>
  <c r="D6" i="21"/>
  <c r="C7" i="21"/>
  <c r="L20" i="19"/>
  <c r="H20" i="19"/>
  <c r="O20" i="19" s="1"/>
  <c r="D20" i="19"/>
  <c r="K20" i="19"/>
  <c r="C21" i="19"/>
  <c r="F20" i="19"/>
  <c r="E20" i="19" s="1"/>
  <c r="I20" i="19"/>
  <c r="J20" i="19"/>
  <c r="E5" i="18"/>
  <c r="G5" i="18"/>
  <c r="L5" i="18" s="1"/>
  <c r="G5" i="20"/>
  <c r="L5" i="20" s="1"/>
  <c r="E5" i="20"/>
  <c r="G5" i="21"/>
  <c r="E5" i="21"/>
  <c r="I4" i="21"/>
  <c r="L4" i="21"/>
  <c r="K4" i="21"/>
  <c r="J4" i="21"/>
  <c r="H4" i="21"/>
  <c r="O4" i="21" s="1"/>
  <c r="G5" i="19"/>
  <c r="E5" i="19"/>
  <c r="L20" i="21"/>
  <c r="H20" i="21"/>
  <c r="O20" i="21" s="1"/>
  <c r="D20" i="21"/>
  <c r="K20" i="21"/>
  <c r="I20" i="21"/>
  <c r="C21" i="21"/>
  <c r="F20" i="21"/>
  <c r="E20" i="21" s="1"/>
  <c r="J20" i="21"/>
  <c r="L19" i="20"/>
  <c r="H19" i="20"/>
  <c r="J19" i="20" s="1"/>
  <c r="K19" i="20"/>
  <c r="F19" i="20"/>
  <c r="E19" i="20" s="1"/>
  <c r="I19" i="20"/>
  <c r="O19" i="20"/>
  <c r="D19" i="20"/>
  <c r="C20" i="20"/>
  <c r="D6" i="19"/>
  <c r="F6" i="19"/>
  <c r="C7" i="19"/>
  <c r="O20" i="18" l="1"/>
  <c r="L20" i="18"/>
  <c r="C21" i="18"/>
  <c r="H21" i="18" s="1"/>
  <c r="J21" i="18" s="1"/>
  <c r="F20" i="18"/>
  <c r="E20" i="18" s="1"/>
  <c r="H5" i="21"/>
  <c r="O5" i="21" s="1"/>
  <c r="I5" i="21"/>
  <c r="L5" i="21"/>
  <c r="K5" i="21"/>
  <c r="J5" i="21"/>
  <c r="I21" i="18"/>
  <c r="K21" i="18" s="1"/>
  <c r="L21" i="18"/>
  <c r="C22" i="18"/>
  <c r="F21" i="18"/>
  <c r="E21" i="18" s="1"/>
  <c r="H5" i="19"/>
  <c r="O5" i="19" s="1"/>
  <c r="L5" i="19"/>
  <c r="I5" i="19"/>
  <c r="K5" i="19"/>
  <c r="J5" i="19"/>
  <c r="I7" i="20"/>
  <c r="H7" i="20"/>
  <c r="O7" i="20" s="1"/>
  <c r="D7" i="20"/>
  <c r="C8" i="20"/>
  <c r="F7" i="20"/>
  <c r="J7" i="20"/>
  <c r="K7" i="20"/>
  <c r="D7" i="19"/>
  <c r="C8" i="19"/>
  <c r="F7" i="19"/>
  <c r="O20" i="20"/>
  <c r="I20" i="20"/>
  <c r="L20" i="20"/>
  <c r="H20" i="20"/>
  <c r="J20" i="20" s="1"/>
  <c r="D20" i="20"/>
  <c r="C21" i="20"/>
  <c r="F20" i="20"/>
  <c r="E20" i="20" s="1"/>
  <c r="K20" i="20"/>
  <c r="I21" i="19"/>
  <c r="L21" i="19"/>
  <c r="H21" i="19"/>
  <c r="O21" i="19" s="1"/>
  <c r="D21" i="19"/>
  <c r="K21" i="19"/>
  <c r="J21" i="19"/>
  <c r="C22" i="19"/>
  <c r="F21" i="19"/>
  <c r="E21" i="19" s="1"/>
  <c r="G6" i="18"/>
  <c r="L6" i="18" s="1"/>
  <c r="E6" i="18"/>
  <c r="G6" i="19"/>
  <c r="E6" i="19"/>
  <c r="I21" i="21"/>
  <c r="L21" i="21"/>
  <c r="H21" i="21"/>
  <c r="O21" i="21" s="1"/>
  <c r="D21" i="21"/>
  <c r="C22" i="21"/>
  <c r="F21" i="21"/>
  <c r="E21" i="21" s="1"/>
  <c r="K21" i="21"/>
  <c r="J21" i="21"/>
  <c r="D7" i="21"/>
  <c r="F7" i="21"/>
  <c r="C8" i="21"/>
  <c r="G6" i="21"/>
  <c r="E6" i="21"/>
  <c r="G6" i="20"/>
  <c r="L6" i="20" s="1"/>
  <c r="E6" i="20"/>
  <c r="H7" i="18"/>
  <c r="O7" i="18" s="1"/>
  <c r="D7" i="18"/>
  <c r="J7" i="18"/>
  <c r="F7" i="18"/>
  <c r="I7" i="18"/>
  <c r="K7" i="18" s="1"/>
  <c r="C8" i="18"/>
  <c r="D21" i="18" l="1"/>
  <c r="O21" i="18"/>
  <c r="F22" i="19"/>
  <c r="I22" i="19" s="1"/>
  <c r="M22" i="19"/>
  <c r="C23" i="19"/>
  <c r="H22" i="19"/>
  <c r="D22" i="19"/>
  <c r="E7" i="19"/>
  <c r="G7" i="19"/>
  <c r="F22" i="18"/>
  <c r="E22" i="18" s="1"/>
  <c r="D22" i="18"/>
  <c r="C23" i="18"/>
  <c r="I6" i="21"/>
  <c r="L6" i="21"/>
  <c r="J6" i="21"/>
  <c r="H6" i="21"/>
  <c r="O6" i="21" s="1"/>
  <c r="K6" i="21"/>
  <c r="E7" i="21"/>
  <c r="G7" i="21"/>
  <c r="N22" i="21"/>
  <c r="J22" i="21"/>
  <c r="F22" i="21"/>
  <c r="E22" i="21" s="1"/>
  <c r="M22" i="21"/>
  <c r="I22" i="21"/>
  <c r="K22" i="21"/>
  <c r="O22" i="21"/>
  <c r="D22" i="21"/>
  <c r="L22" i="21"/>
  <c r="C23" i="21"/>
  <c r="H22" i="21"/>
  <c r="F8" i="19"/>
  <c r="D8" i="19"/>
  <c r="C9" i="19"/>
  <c r="N8" i="20"/>
  <c r="J8" i="20"/>
  <c r="F8" i="20"/>
  <c r="M8" i="20"/>
  <c r="I8" i="20"/>
  <c r="D8" i="20"/>
  <c r="K8" i="20"/>
  <c r="H8" i="20"/>
  <c r="C9" i="20"/>
  <c r="O8" i="20"/>
  <c r="C9" i="18"/>
  <c r="D8" i="18"/>
  <c r="F8" i="18"/>
  <c r="H6" i="19"/>
  <c r="O6" i="19" s="1"/>
  <c r="I6" i="19"/>
  <c r="K6" i="19"/>
  <c r="L6" i="19"/>
  <c r="J6" i="19"/>
  <c r="E7" i="20"/>
  <c r="G7" i="20"/>
  <c r="L7" i="20" s="1"/>
  <c r="G7" i="18"/>
  <c r="L7" i="18" s="1"/>
  <c r="E7" i="18"/>
  <c r="C9" i="21"/>
  <c r="F8" i="21"/>
  <c r="D8" i="21"/>
  <c r="C22" i="20"/>
  <c r="F21" i="20"/>
  <c r="E21" i="20" s="1"/>
  <c r="O21" i="20"/>
  <c r="I21" i="20"/>
  <c r="L21" i="20"/>
  <c r="D21" i="20"/>
  <c r="K21" i="20"/>
  <c r="H21" i="20"/>
  <c r="J21" i="20" s="1"/>
  <c r="L22" i="19" l="1"/>
  <c r="M23" i="21"/>
  <c r="I23" i="21"/>
  <c r="C24" i="21"/>
  <c r="L23" i="21"/>
  <c r="H23" i="21"/>
  <c r="D23" i="21"/>
  <c r="N23" i="21"/>
  <c r="F23" i="21"/>
  <c r="E23" i="21" s="1"/>
  <c r="K23" i="21"/>
  <c r="J23" i="21"/>
  <c r="O23" i="21"/>
  <c r="E8" i="20"/>
  <c r="G8" i="20"/>
  <c r="L8" i="20" s="1"/>
  <c r="C24" i="18"/>
  <c r="D23" i="18"/>
  <c r="F23" i="18"/>
  <c r="E23" i="18" s="1"/>
  <c r="J23" i="18"/>
  <c r="O22" i="20"/>
  <c r="K22" i="20"/>
  <c r="N22" i="20"/>
  <c r="J22" i="20"/>
  <c r="F22" i="20"/>
  <c r="E22" i="20" s="1"/>
  <c r="C23" i="20"/>
  <c r="H22" i="20"/>
  <c r="M22" i="20"/>
  <c r="L22" i="20"/>
  <c r="D22" i="20"/>
  <c r="I22" i="20"/>
  <c r="C10" i="18"/>
  <c r="D9" i="18"/>
  <c r="F9" i="18"/>
  <c r="M9" i="20"/>
  <c r="I9" i="20"/>
  <c r="C10" i="20"/>
  <c r="H9" i="20"/>
  <c r="D9" i="20"/>
  <c r="O9" i="20"/>
  <c r="N9" i="20"/>
  <c r="F9" i="20"/>
  <c r="J9" i="20"/>
  <c r="K9" i="20"/>
  <c r="K7" i="21"/>
  <c r="H7" i="21"/>
  <c r="O7" i="21" s="1"/>
  <c r="I7" i="21"/>
  <c r="L7" i="21"/>
  <c r="J7" i="21"/>
  <c r="O22" i="18"/>
  <c r="I22" i="18"/>
  <c r="K22" i="18" s="1"/>
  <c r="N22" i="18"/>
  <c r="C24" i="19"/>
  <c r="L23" i="19"/>
  <c r="D23" i="19"/>
  <c r="F23" i="19"/>
  <c r="M23" i="19" s="1"/>
  <c r="E22" i="19"/>
  <c r="K22" i="19"/>
  <c r="J22" i="19"/>
  <c r="E8" i="21"/>
  <c r="G8" i="21"/>
  <c r="C10" i="19"/>
  <c r="D9" i="19"/>
  <c r="F9" i="19"/>
  <c r="E8" i="19"/>
  <c r="G8" i="19"/>
  <c r="L22" i="18"/>
  <c r="J22" i="18"/>
  <c r="C10" i="21"/>
  <c r="D9" i="21"/>
  <c r="F9" i="21"/>
  <c r="E8" i="18"/>
  <c r="G8" i="18"/>
  <c r="H22" i="18"/>
  <c r="M22" i="18"/>
  <c r="H7" i="19"/>
  <c r="O7" i="19" s="1"/>
  <c r="J7" i="19"/>
  <c r="I7" i="19"/>
  <c r="K7" i="19"/>
  <c r="L7" i="19"/>
  <c r="O22" i="19"/>
  <c r="N22" i="19"/>
  <c r="I23" i="18" l="1"/>
  <c r="K23" i="18" s="1"/>
  <c r="O23" i="18"/>
  <c r="N23" i="19"/>
  <c r="K8" i="19"/>
  <c r="J8" i="19"/>
  <c r="I8" i="19"/>
  <c r="M8" i="19"/>
  <c r="H8" i="19"/>
  <c r="N8" i="19"/>
  <c r="L8" i="19"/>
  <c r="O8" i="19"/>
  <c r="G9" i="18"/>
  <c r="E9" i="18"/>
  <c r="C25" i="18"/>
  <c r="D24" i="18"/>
  <c r="F24" i="18"/>
  <c r="E24" i="18" s="1"/>
  <c r="I8" i="18"/>
  <c r="K8" i="18" s="1"/>
  <c r="L8" i="18"/>
  <c r="O8" i="18"/>
  <c r="M8" i="18"/>
  <c r="N8" i="18"/>
  <c r="J8" i="18"/>
  <c r="H8" i="18"/>
  <c r="J8" i="21"/>
  <c r="N8" i="21"/>
  <c r="M8" i="21"/>
  <c r="I8" i="21"/>
  <c r="O8" i="21"/>
  <c r="H8" i="21"/>
  <c r="K8" i="21"/>
  <c r="L8" i="21"/>
  <c r="C25" i="19"/>
  <c r="D24" i="19"/>
  <c r="F24" i="19"/>
  <c r="L24" i="19" s="1"/>
  <c r="C11" i="20"/>
  <c r="H10" i="20"/>
  <c r="D10" i="20"/>
  <c r="O10" i="20"/>
  <c r="K10" i="20"/>
  <c r="J10" i="20"/>
  <c r="I10" i="20"/>
  <c r="M10" i="20"/>
  <c r="N10" i="20"/>
  <c r="F10" i="20"/>
  <c r="F10" i="18"/>
  <c r="C11" i="18"/>
  <c r="D10" i="18"/>
  <c r="E9" i="19"/>
  <c r="G9" i="19"/>
  <c r="E23" i="19"/>
  <c r="K23" i="19"/>
  <c r="J23" i="19"/>
  <c r="H23" i="18"/>
  <c r="M23" i="18"/>
  <c r="G9" i="21"/>
  <c r="E9" i="21"/>
  <c r="F10" i="21"/>
  <c r="C11" i="21"/>
  <c r="D10" i="21"/>
  <c r="D10" i="19"/>
  <c r="C11" i="19"/>
  <c r="F10" i="19"/>
  <c r="C25" i="21"/>
  <c r="L24" i="21"/>
  <c r="H24" i="21"/>
  <c r="D24" i="21"/>
  <c r="O24" i="21"/>
  <c r="K24" i="21"/>
  <c r="N24" i="21"/>
  <c r="M24" i="21"/>
  <c r="F24" i="21"/>
  <c r="E24" i="21" s="1"/>
  <c r="I24" i="21"/>
  <c r="J24" i="21"/>
  <c r="O23" i="19"/>
  <c r="H23" i="19"/>
  <c r="I23" i="19"/>
  <c r="E9" i="20"/>
  <c r="G9" i="20"/>
  <c r="L9" i="20" s="1"/>
  <c r="N23" i="20"/>
  <c r="J23" i="20"/>
  <c r="F23" i="20"/>
  <c r="E23" i="20" s="1"/>
  <c r="M23" i="20"/>
  <c r="I23" i="20"/>
  <c r="K23" i="20"/>
  <c r="C24" i="20"/>
  <c r="H23" i="20"/>
  <c r="D23" i="20"/>
  <c r="L23" i="20"/>
  <c r="O23" i="20"/>
  <c r="N23" i="18"/>
  <c r="L23" i="18"/>
  <c r="G10" i="21" l="1"/>
  <c r="E10" i="21"/>
  <c r="I24" i="18"/>
  <c r="K24" i="18" s="1"/>
  <c r="L24" i="18"/>
  <c r="O25" i="21"/>
  <c r="K25" i="21"/>
  <c r="N25" i="21"/>
  <c r="J25" i="21"/>
  <c r="F25" i="21"/>
  <c r="E25" i="21" s="1"/>
  <c r="C26" i="21"/>
  <c r="H25" i="21"/>
  <c r="L25" i="21"/>
  <c r="D25" i="21"/>
  <c r="I25" i="21"/>
  <c r="M25" i="21"/>
  <c r="H9" i="21"/>
  <c r="M9" i="21"/>
  <c r="O9" i="21"/>
  <c r="L9" i="21"/>
  <c r="K9" i="21"/>
  <c r="J9" i="21"/>
  <c r="N9" i="21"/>
  <c r="I9" i="21"/>
  <c r="O24" i="18"/>
  <c r="G10" i="19"/>
  <c r="E10" i="19"/>
  <c r="F11" i="18"/>
  <c r="D11" i="18"/>
  <c r="C12" i="18"/>
  <c r="I24" i="19"/>
  <c r="O24" i="19"/>
  <c r="J24" i="18"/>
  <c r="E24" i="19"/>
  <c r="K24" i="19"/>
  <c r="J24" i="19"/>
  <c r="F11" i="19"/>
  <c r="C12" i="19"/>
  <c r="D11" i="19"/>
  <c r="O11" i="20"/>
  <c r="K11" i="20"/>
  <c r="N11" i="20"/>
  <c r="J11" i="20"/>
  <c r="F11" i="20"/>
  <c r="M11" i="20"/>
  <c r="D11" i="20"/>
  <c r="C12" i="20"/>
  <c r="I11" i="20"/>
  <c r="H11" i="20"/>
  <c r="M24" i="19"/>
  <c r="H24" i="19"/>
  <c r="N24" i="18"/>
  <c r="O25" i="18"/>
  <c r="F25" i="18"/>
  <c r="E25" i="18" s="1"/>
  <c r="I25" i="18"/>
  <c r="K25" i="18" s="1"/>
  <c r="D25" i="18"/>
  <c r="C26" i="18"/>
  <c r="M25" i="18"/>
  <c r="M24" i="20"/>
  <c r="I24" i="20"/>
  <c r="C25" i="20"/>
  <c r="L24" i="20"/>
  <c r="H24" i="20"/>
  <c r="D24" i="20"/>
  <c r="N24" i="20"/>
  <c r="F24" i="20"/>
  <c r="E24" i="20" s="1"/>
  <c r="K24" i="20"/>
  <c r="O24" i="20"/>
  <c r="J24" i="20"/>
  <c r="F11" i="21"/>
  <c r="D11" i="21"/>
  <c r="C12" i="21"/>
  <c r="J9" i="19"/>
  <c r="K9" i="19"/>
  <c r="M9" i="19"/>
  <c r="H9" i="19"/>
  <c r="N9" i="19"/>
  <c r="O9" i="19"/>
  <c r="I9" i="19"/>
  <c r="L9" i="19"/>
  <c r="G10" i="18"/>
  <c r="E10" i="18"/>
  <c r="G10" i="20"/>
  <c r="L10" i="20" s="1"/>
  <c r="E10" i="20"/>
  <c r="N24" i="19"/>
  <c r="F25" i="19"/>
  <c r="I25" i="19"/>
  <c r="C26" i="19"/>
  <c r="D25" i="19"/>
  <c r="M24" i="18"/>
  <c r="H24" i="18"/>
  <c r="H9" i="18"/>
  <c r="J9" i="18"/>
  <c r="I9" i="18"/>
  <c r="K9" i="18" s="1"/>
  <c r="L9" i="18"/>
  <c r="M9" i="18"/>
  <c r="N9" i="18"/>
  <c r="O9" i="18"/>
  <c r="E25" i="19" l="1"/>
  <c r="J25" i="19"/>
  <c r="K25" i="19"/>
  <c r="I10" i="18"/>
  <c r="K10" i="18" s="1"/>
  <c r="H10" i="18"/>
  <c r="J10" i="18"/>
  <c r="M10" i="18"/>
  <c r="O10" i="18"/>
  <c r="L10" i="18"/>
  <c r="N10" i="18"/>
  <c r="C26" i="20"/>
  <c r="L25" i="20"/>
  <c r="H25" i="20"/>
  <c r="D25" i="20"/>
  <c r="O25" i="20"/>
  <c r="K25" i="20"/>
  <c r="N25" i="20"/>
  <c r="M25" i="20"/>
  <c r="F25" i="20"/>
  <c r="E25" i="20" s="1"/>
  <c r="J25" i="20"/>
  <c r="I25" i="20"/>
  <c r="C13" i="19"/>
  <c r="D12" i="19"/>
  <c r="F12" i="19"/>
  <c r="H25" i="19"/>
  <c r="E11" i="21"/>
  <c r="G11" i="21"/>
  <c r="H25" i="18"/>
  <c r="L25" i="19"/>
  <c r="O25" i="19"/>
  <c r="N26" i="18"/>
  <c r="J26" i="18"/>
  <c r="F26" i="18"/>
  <c r="E26" i="18" s="1"/>
  <c r="I26" i="18"/>
  <c r="K26" i="18" s="1"/>
  <c r="L26" i="18"/>
  <c r="D26" i="18"/>
  <c r="C27" i="18"/>
  <c r="H26" i="18"/>
  <c r="O26" i="18"/>
  <c r="J25" i="18"/>
  <c r="N12" i="20"/>
  <c r="J12" i="20"/>
  <c r="F12" i="20"/>
  <c r="M12" i="20"/>
  <c r="I12" i="20"/>
  <c r="C13" i="20"/>
  <c r="H12" i="20"/>
  <c r="O12" i="20"/>
  <c r="K12" i="20"/>
  <c r="D12" i="20"/>
  <c r="G11" i="20"/>
  <c r="L11" i="20" s="1"/>
  <c r="E11" i="20"/>
  <c r="N26" i="21"/>
  <c r="J26" i="21"/>
  <c r="F26" i="21"/>
  <c r="E26" i="21" s="1"/>
  <c r="M26" i="21"/>
  <c r="I26" i="21"/>
  <c r="K26" i="21"/>
  <c r="H26" i="21"/>
  <c r="C27" i="21"/>
  <c r="O26" i="21"/>
  <c r="L26" i="21"/>
  <c r="D26" i="21"/>
  <c r="E11" i="19"/>
  <c r="G11" i="19"/>
  <c r="N25" i="19"/>
  <c r="F26" i="19"/>
  <c r="M26" i="19" s="1"/>
  <c r="C27" i="19"/>
  <c r="H26" i="19"/>
  <c r="D26" i="19"/>
  <c r="M25" i="19"/>
  <c r="C13" i="21"/>
  <c r="F12" i="21"/>
  <c r="D12" i="21"/>
  <c r="L25" i="18"/>
  <c r="N25" i="18"/>
  <c r="C13" i="18"/>
  <c r="D12" i="18"/>
  <c r="F12" i="18"/>
  <c r="E11" i="18"/>
  <c r="G11" i="18"/>
  <c r="K10" i="19"/>
  <c r="J10" i="19"/>
  <c r="O10" i="19"/>
  <c r="I10" i="19"/>
  <c r="N10" i="19"/>
  <c r="L10" i="19"/>
  <c r="M10" i="19"/>
  <c r="H10" i="19"/>
  <c r="O10" i="21"/>
  <c r="L10" i="21"/>
  <c r="I10" i="21"/>
  <c r="N10" i="21"/>
  <c r="K10" i="21"/>
  <c r="J10" i="21"/>
  <c r="M10" i="21"/>
  <c r="H10" i="21"/>
  <c r="N26" i="19" l="1"/>
  <c r="L26" i="19"/>
  <c r="I26" i="19"/>
  <c r="O26" i="19"/>
  <c r="J11" i="19"/>
  <c r="K11" i="19"/>
  <c r="M11" i="19"/>
  <c r="H11" i="19"/>
  <c r="I11" i="19"/>
  <c r="N11" i="19"/>
  <c r="O11" i="19"/>
  <c r="L11" i="19"/>
  <c r="M13" i="20"/>
  <c r="I13" i="20"/>
  <c r="C14" i="20"/>
  <c r="H13" i="20"/>
  <c r="D13" i="20"/>
  <c r="K13" i="20"/>
  <c r="J13" i="20"/>
  <c r="F13" i="20"/>
  <c r="O13" i="20"/>
  <c r="N13" i="20"/>
  <c r="N11" i="21"/>
  <c r="I11" i="21"/>
  <c r="M11" i="21"/>
  <c r="O11" i="21"/>
  <c r="J11" i="21"/>
  <c r="L11" i="21"/>
  <c r="K11" i="21"/>
  <c r="H11" i="21"/>
  <c r="E12" i="19"/>
  <c r="G12" i="19"/>
  <c r="M26" i="20"/>
  <c r="I26" i="20"/>
  <c r="L26" i="20"/>
  <c r="C27" i="20"/>
  <c r="K26" i="20"/>
  <c r="F26" i="20"/>
  <c r="E26" i="20" s="1"/>
  <c r="H26" i="20"/>
  <c r="O26" i="20"/>
  <c r="N26" i="20"/>
  <c r="D26" i="20"/>
  <c r="J26" i="20"/>
  <c r="E12" i="21"/>
  <c r="G12" i="21"/>
  <c r="C28" i="19"/>
  <c r="D27" i="19"/>
  <c r="F27" i="19"/>
  <c r="M27" i="19" s="1"/>
  <c r="E26" i="19"/>
  <c r="J26" i="19"/>
  <c r="K26" i="19"/>
  <c r="M27" i="21"/>
  <c r="I27" i="21"/>
  <c r="C28" i="21"/>
  <c r="L27" i="21"/>
  <c r="H27" i="21"/>
  <c r="D27" i="21"/>
  <c r="N27" i="21"/>
  <c r="F27" i="21"/>
  <c r="E27" i="21" s="1"/>
  <c r="O27" i="21"/>
  <c r="K27" i="21"/>
  <c r="J27" i="21"/>
  <c r="M27" i="18"/>
  <c r="C28" i="18"/>
  <c r="D27" i="18"/>
  <c r="J27" i="18"/>
  <c r="F27" i="18"/>
  <c r="E27" i="18" s="1"/>
  <c r="M26" i="18"/>
  <c r="C14" i="18"/>
  <c r="D13" i="18"/>
  <c r="F13" i="18"/>
  <c r="C14" i="21"/>
  <c r="D13" i="21"/>
  <c r="F13" i="21"/>
  <c r="E12" i="20"/>
  <c r="G12" i="20"/>
  <c r="L12" i="20" s="1"/>
  <c r="J11" i="18"/>
  <c r="L11" i="18"/>
  <c r="M11" i="18"/>
  <c r="H11" i="18"/>
  <c r="N11" i="18"/>
  <c r="I11" i="18"/>
  <c r="K11" i="18" s="1"/>
  <c r="O11" i="18"/>
  <c r="E12" i="18"/>
  <c r="G12" i="18"/>
  <c r="C14" i="19"/>
  <c r="D13" i="19"/>
  <c r="F13" i="19"/>
  <c r="H27" i="18" l="1"/>
  <c r="N27" i="18"/>
  <c r="L27" i="18"/>
  <c r="F14" i="19"/>
  <c r="C15" i="19"/>
  <c r="D14" i="19"/>
  <c r="H27" i="19"/>
  <c r="G13" i="19"/>
  <c r="E13" i="19"/>
  <c r="G13" i="18"/>
  <c r="E13" i="18"/>
  <c r="F14" i="18"/>
  <c r="D14" i="18"/>
  <c r="C15" i="18"/>
  <c r="C29" i="21"/>
  <c r="L28" i="21"/>
  <c r="H28" i="21"/>
  <c r="D28" i="21"/>
  <c r="O28" i="21"/>
  <c r="K28" i="21"/>
  <c r="N28" i="21"/>
  <c r="J28" i="21"/>
  <c r="I28" i="21"/>
  <c r="F28" i="21"/>
  <c r="E28" i="21" s="1"/>
  <c r="M28" i="21"/>
  <c r="N27" i="19"/>
  <c r="L27" i="19"/>
  <c r="C15" i="20"/>
  <c r="H14" i="20"/>
  <c r="D14" i="20"/>
  <c r="O14" i="20"/>
  <c r="K14" i="20"/>
  <c r="N14" i="20"/>
  <c r="F14" i="20"/>
  <c r="M14" i="20"/>
  <c r="I14" i="20"/>
  <c r="J14" i="20"/>
  <c r="L12" i="18"/>
  <c r="I12" i="18"/>
  <c r="K12" i="18" s="1"/>
  <c r="O12" i="18"/>
  <c r="N12" i="18"/>
  <c r="M12" i="18"/>
  <c r="H12" i="18"/>
  <c r="J12" i="18"/>
  <c r="E13" i="21"/>
  <c r="G13" i="21"/>
  <c r="O27" i="18"/>
  <c r="C29" i="18"/>
  <c r="D28" i="18"/>
  <c r="F28" i="18"/>
  <c r="E28" i="18" s="1"/>
  <c r="J28" i="18"/>
  <c r="C29" i="19"/>
  <c r="D28" i="19"/>
  <c r="F28" i="19"/>
  <c r="N28" i="19"/>
  <c r="M12" i="21"/>
  <c r="K12" i="21"/>
  <c r="H12" i="21"/>
  <c r="L12" i="21"/>
  <c r="J12" i="21"/>
  <c r="I12" i="21"/>
  <c r="O12" i="21"/>
  <c r="N12" i="21"/>
  <c r="E27" i="19"/>
  <c r="K27" i="19"/>
  <c r="J27" i="19"/>
  <c r="I27" i="19"/>
  <c r="C15" i="21"/>
  <c r="F14" i="21"/>
  <c r="D14" i="21"/>
  <c r="I27" i="18"/>
  <c r="K27" i="18" s="1"/>
  <c r="O27" i="19"/>
  <c r="C28" i="20"/>
  <c r="L27" i="20"/>
  <c r="H27" i="20"/>
  <c r="D27" i="20"/>
  <c r="O27" i="20"/>
  <c r="J27" i="20"/>
  <c r="N27" i="20"/>
  <c r="I27" i="20"/>
  <c r="F27" i="20"/>
  <c r="E27" i="20" s="1"/>
  <c r="M27" i="20"/>
  <c r="K27" i="20"/>
  <c r="J12" i="19"/>
  <c r="K12" i="19"/>
  <c r="O12" i="19"/>
  <c r="N12" i="19"/>
  <c r="M12" i="19"/>
  <c r="L12" i="19"/>
  <c r="I12" i="19"/>
  <c r="H12" i="19"/>
  <c r="E13" i="20"/>
  <c r="G13" i="20"/>
  <c r="L13" i="20" s="1"/>
  <c r="G14" i="18" l="1"/>
  <c r="E14" i="18"/>
  <c r="G14" i="19"/>
  <c r="E14" i="19"/>
  <c r="E28" i="19"/>
  <c r="K28" i="19"/>
  <c r="J28" i="19"/>
  <c r="G14" i="20"/>
  <c r="L14" i="20" s="1"/>
  <c r="E14" i="20"/>
  <c r="O29" i="21"/>
  <c r="K29" i="21"/>
  <c r="N29" i="21"/>
  <c r="J29" i="21"/>
  <c r="F29" i="21"/>
  <c r="E29" i="21" s="1"/>
  <c r="H29" i="21"/>
  <c r="M29" i="21"/>
  <c r="D29" i="21"/>
  <c r="L29" i="21"/>
  <c r="I29" i="21"/>
  <c r="H13" i="18"/>
  <c r="J13" i="18"/>
  <c r="O13" i="18"/>
  <c r="M13" i="18"/>
  <c r="N13" i="18"/>
  <c r="L13" i="18"/>
  <c r="I13" i="18"/>
  <c r="K13" i="18" s="1"/>
  <c r="F15" i="19"/>
  <c r="D15" i="19"/>
  <c r="F15" i="21"/>
  <c r="D15" i="21"/>
  <c r="M28" i="19"/>
  <c r="H28" i="19"/>
  <c r="M28" i="18"/>
  <c r="I28" i="18"/>
  <c r="K28" i="18" s="1"/>
  <c r="L28" i="18"/>
  <c r="F29" i="19"/>
  <c r="O29" i="19" s="1"/>
  <c r="D29" i="19"/>
  <c r="O15" i="20"/>
  <c r="K15" i="20"/>
  <c r="N15" i="20"/>
  <c r="J15" i="20"/>
  <c r="F15" i="20"/>
  <c r="I15" i="20"/>
  <c r="H15" i="20"/>
  <c r="D15" i="20"/>
  <c r="M15" i="20"/>
  <c r="O28" i="20"/>
  <c r="K28" i="20"/>
  <c r="L28" i="20"/>
  <c r="C29" i="20"/>
  <c r="J28" i="20"/>
  <c r="F28" i="20"/>
  <c r="E28" i="20" s="1"/>
  <c r="I28" i="20"/>
  <c r="D28" i="20"/>
  <c r="H28" i="20"/>
  <c r="M28" i="20"/>
  <c r="N28" i="20"/>
  <c r="H28" i="18"/>
  <c r="O13" i="21"/>
  <c r="K13" i="21"/>
  <c r="H13" i="21"/>
  <c r="N13" i="21"/>
  <c r="L13" i="21"/>
  <c r="J13" i="21"/>
  <c r="M13" i="21"/>
  <c r="I13" i="21"/>
  <c r="G14" i="21"/>
  <c r="E14" i="21"/>
  <c r="I28" i="19"/>
  <c r="O28" i="19"/>
  <c r="L28" i="19"/>
  <c r="N28" i="18"/>
  <c r="O28" i="18"/>
  <c r="O29" i="18"/>
  <c r="N29" i="18"/>
  <c r="J29" i="18"/>
  <c r="F29" i="18"/>
  <c r="E29" i="18" s="1"/>
  <c r="I29" i="18"/>
  <c r="K29" i="18" s="1"/>
  <c r="D29" i="18"/>
  <c r="M29" i="18"/>
  <c r="L29" i="18"/>
  <c r="H29" i="18"/>
  <c r="F15" i="18"/>
  <c r="D15" i="18"/>
  <c r="J13" i="19"/>
  <c r="K13" i="19"/>
  <c r="L13" i="19"/>
  <c r="O13" i="19"/>
  <c r="I13" i="19"/>
  <c r="M13" i="19"/>
  <c r="H13" i="19"/>
  <c r="N13" i="19"/>
  <c r="L14" i="21" l="1"/>
  <c r="K14" i="21"/>
  <c r="O14" i="21"/>
  <c r="I14" i="21"/>
  <c r="H14" i="21"/>
  <c r="N14" i="21"/>
  <c r="M14" i="21"/>
  <c r="J14" i="21"/>
  <c r="E15" i="19"/>
  <c r="G15" i="19"/>
  <c r="N29" i="20"/>
  <c r="J29" i="20"/>
  <c r="F29" i="20"/>
  <c r="E29" i="20" s="1"/>
  <c r="O29" i="20"/>
  <c r="I29" i="20"/>
  <c r="D29" i="20"/>
  <c r="M29" i="20"/>
  <c r="H29" i="20"/>
  <c r="L29" i="20"/>
  <c r="K29" i="20"/>
  <c r="I29" i="19"/>
  <c r="N29" i="19"/>
  <c r="K14" i="19"/>
  <c r="J14" i="19"/>
  <c r="I14" i="19"/>
  <c r="L14" i="19"/>
  <c r="H14" i="19"/>
  <c r="O14" i="19"/>
  <c r="N14" i="19"/>
  <c r="M14" i="19"/>
  <c r="E15" i="18"/>
  <c r="G15" i="18"/>
  <c r="G15" i="20"/>
  <c r="L15" i="20" s="1"/>
  <c r="E15" i="20"/>
  <c r="L29" i="19"/>
  <c r="E29" i="19"/>
  <c r="K29" i="19"/>
  <c r="J29" i="19"/>
  <c r="H29" i="19"/>
  <c r="M29" i="19"/>
  <c r="E15" i="21"/>
  <c r="G15" i="21"/>
  <c r="O14" i="18"/>
  <c r="L14" i="18"/>
  <c r="I14" i="18"/>
  <c r="K14" i="18" s="1"/>
  <c r="N14" i="18"/>
  <c r="H14" i="18"/>
  <c r="J14" i="18"/>
  <c r="M14" i="18"/>
  <c r="J15" i="18" l="1"/>
  <c r="O15" i="18"/>
  <c r="M15" i="18"/>
  <c r="H15" i="18"/>
  <c r="L15" i="18"/>
  <c r="N15" i="18"/>
  <c r="I15" i="18"/>
  <c r="K15" i="18" s="1"/>
  <c r="L15" i="21"/>
  <c r="H15" i="21"/>
  <c r="M15" i="21"/>
  <c r="K15" i="21"/>
  <c r="N15" i="21"/>
  <c r="I15" i="21"/>
  <c r="J15" i="21"/>
  <c r="O15" i="21"/>
  <c r="J15" i="19"/>
  <c r="K15" i="19"/>
  <c r="M15" i="19"/>
  <c r="H15" i="19"/>
  <c r="I15" i="19"/>
  <c r="O15" i="19"/>
  <c r="N15" i="19"/>
  <c r="L15" i="19"/>
  <c r="J42" i="6" l="1"/>
  <c r="C185" i="17"/>
  <c r="C184" i="17"/>
  <c r="C183" i="17"/>
  <c r="C182" i="17"/>
  <c r="C181" i="17"/>
  <c r="C180" i="17"/>
  <c r="C179" i="17"/>
  <c r="C178" i="17"/>
  <c r="C177" i="17"/>
  <c r="C176" i="17"/>
  <c r="C175" i="17"/>
  <c r="C174" i="17"/>
  <c r="C161" i="17"/>
  <c r="C160" i="17"/>
  <c r="C159" i="17"/>
  <c r="C158" i="17"/>
  <c r="C157" i="17"/>
  <c r="C156" i="17"/>
  <c r="C155" i="17"/>
  <c r="C154" i="17"/>
  <c r="C153" i="17"/>
  <c r="C152" i="17"/>
  <c r="C151" i="17"/>
  <c r="C150" i="17"/>
  <c r="C149" i="17"/>
  <c r="C148" i="17"/>
  <c r="C147" i="17"/>
  <c r="C146" i="17"/>
  <c r="C145" i="17"/>
  <c r="C144" i="17"/>
  <c r="C143" i="17"/>
  <c r="C142" i="17"/>
  <c r="C141" i="17"/>
  <c r="C140" i="17"/>
  <c r="C139" i="17"/>
  <c r="C138" i="17"/>
  <c r="C137" i="17"/>
  <c r="C136" i="17"/>
  <c r="C135" i="17"/>
  <c r="C134" i="17"/>
  <c r="C133" i="17"/>
  <c r="C132" i="17"/>
  <c r="C131" i="17"/>
  <c r="C130" i="17"/>
  <c r="C129" i="17"/>
  <c r="C128" i="17"/>
  <c r="C127" i="17"/>
  <c r="C126" i="17"/>
  <c r="C125" i="17"/>
  <c r="C124" i="17"/>
  <c r="C123"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B5" i="17"/>
  <c r="C172" i="17" s="1"/>
  <c r="L43" i="7"/>
  <c r="L44" i="7"/>
  <c r="L45" i="7"/>
  <c r="L46" i="7"/>
  <c r="L47" i="7"/>
  <c r="L48" i="7"/>
  <c r="L49" i="7"/>
  <c r="L50" i="7"/>
  <c r="L51" i="7"/>
  <c r="L52" i="7"/>
  <c r="L53" i="7"/>
  <c r="L42" i="7"/>
  <c r="B39" i="6"/>
  <c r="C196" i="17" l="1"/>
  <c r="C165" i="17"/>
  <c r="C189" i="17" s="1"/>
  <c r="C173" i="17"/>
  <c r="C197" i="17" s="1"/>
  <c r="C162" i="17"/>
  <c r="C186" i="17" s="1"/>
  <c r="C166" i="17"/>
  <c r="C190" i="17" s="1"/>
  <c r="C170" i="17"/>
  <c r="C194" i="17" s="1"/>
  <c r="C169" i="17"/>
  <c r="C193" i="17" s="1"/>
  <c r="C163" i="17"/>
  <c r="C187" i="17" s="1"/>
  <c r="C167" i="17"/>
  <c r="C191" i="17" s="1"/>
  <c r="C171" i="17"/>
  <c r="C195" i="17" s="1"/>
  <c r="C164" i="17"/>
  <c r="C188" i="17" s="1"/>
  <c r="C168" i="17"/>
  <c r="C192" i="17" s="1"/>
  <c r="J43" i="6"/>
  <c r="J44" i="6"/>
  <c r="J45" i="6"/>
  <c r="J46" i="6"/>
  <c r="J47" i="6"/>
  <c r="J48" i="6"/>
  <c r="J49" i="6"/>
  <c r="J50" i="6"/>
  <c r="J51" i="6"/>
  <c r="J52" i="6"/>
  <c r="J53" i="6"/>
  <c r="E42" i="6"/>
  <c r="E43" i="6"/>
  <c r="G42" i="7" l="1"/>
  <c r="F42" i="7"/>
  <c r="B53" i="7" l="1"/>
  <c r="B52" i="7"/>
  <c r="B51" i="7"/>
  <c r="B50" i="7"/>
  <c r="B49" i="7"/>
  <c r="B48" i="7"/>
  <c r="B47" i="7"/>
  <c r="B46" i="7"/>
  <c r="B45" i="7"/>
  <c r="B44" i="7"/>
  <c r="B43" i="7"/>
  <c r="F43" i="6"/>
  <c r="F44" i="6"/>
  <c r="F45" i="6"/>
  <c r="F46" i="6"/>
  <c r="F47" i="6"/>
  <c r="F48" i="6"/>
  <c r="F49" i="6"/>
  <c r="F50" i="6"/>
  <c r="F51" i="6"/>
  <c r="F52" i="6"/>
  <c r="F53" i="6"/>
  <c r="F42" i="6"/>
  <c r="G42" i="6"/>
  <c r="H43" i="7"/>
  <c r="H44" i="7"/>
  <c r="H45" i="7"/>
  <c r="H46" i="7"/>
  <c r="H47" i="7"/>
  <c r="H48" i="7"/>
  <c r="H49" i="7"/>
  <c r="H50" i="7"/>
  <c r="H51" i="7"/>
  <c r="H52" i="7"/>
  <c r="H53" i="7"/>
  <c r="H42" i="7"/>
  <c r="I42" i="7"/>
  <c r="B43" i="6"/>
  <c r="B44" i="6"/>
  <c r="B45" i="6"/>
  <c r="B46" i="6"/>
  <c r="B47" i="6"/>
  <c r="B48" i="6"/>
  <c r="B49" i="6"/>
  <c r="B50" i="6"/>
  <c r="B51" i="6"/>
  <c r="B52" i="6"/>
  <c r="B53" i="6"/>
  <c r="B42" i="6"/>
  <c r="C42" i="6"/>
  <c r="B42" i="7"/>
  <c r="C42" i="7"/>
  <c r="H42" i="6"/>
  <c r="J43" i="7"/>
  <c r="J44" i="7"/>
  <c r="J45" i="7"/>
  <c r="J46" i="7"/>
  <c r="J47" i="7"/>
  <c r="J48" i="7"/>
  <c r="J49" i="7"/>
  <c r="J50" i="7"/>
  <c r="J51" i="7"/>
  <c r="J52" i="7"/>
  <c r="J53" i="7"/>
  <c r="J42" i="7"/>
  <c r="E42" i="7"/>
  <c r="I43" i="7"/>
  <c r="I44" i="7"/>
  <c r="I45" i="7"/>
  <c r="I46" i="7"/>
  <c r="I47" i="7"/>
  <c r="I48" i="7"/>
  <c r="I49" i="7"/>
  <c r="I50" i="7"/>
  <c r="I51" i="7"/>
  <c r="I52" i="7"/>
  <c r="I53" i="7"/>
  <c r="E43" i="7"/>
  <c r="E44" i="7"/>
  <c r="E45" i="7"/>
  <c r="E46" i="7"/>
  <c r="E47" i="7"/>
  <c r="E48" i="7"/>
  <c r="E49" i="7"/>
  <c r="E50" i="7"/>
  <c r="E51" i="7"/>
  <c r="E52" i="7"/>
  <c r="E53" i="7"/>
  <c r="G43" i="7"/>
  <c r="G44" i="7"/>
  <c r="G45" i="7"/>
  <c r="G46" i="7"/>
  <c r="G47" i="7"/>
  <c r="G48" i="7"/>
  <c r="G49" i="7"/>
  <c r="G50" i="7"/>
  <c r="G51" i="7"/>
  <c r="G52" i="7"/>
  <c r="G53" i="7"/>
  <c r="F53" i="7"/>
  <c r="F43" i="7"/>
  <c r="F44" i="7"/>
  <c r="F45" i="7"/>
  <c r="F46" i="7"/>
  <c r="F47" i="7"/>
  <c r="F48" i="7"/>
  <c r="F49" i="7"/>
  <c r="F50" i="7"/>
  <c r="F51" i="7"/>
  <c r="F52" i="7"/>
  <c r="D43" i="7"/>
  <c r="D44" i="7"/>
  <c r="D45" i="7"/>
  <c r="D46" i="7"/>
  <c r="D47" i="7"/>
  <c r="D48" i="7"/>
  <c r="D49" i="7"/>
  <c r="D50" i="7"/>
  <c r="D51" i="7"/>
  <c r="D52" i="7"/>
  <c r="D53" i="7"/>
  <c r="D42" i="7"/>
  <c r="C43" i="7"/>
  <c r="C44" i="7"/>
  <c r="C45" i="7"/>
  <c r="C46" i="7"/>
  <c r="C47" i="7"/>
  <c r="C48" i="7"/>
  <c r="C49" i="7"/>
  <c r="C50" i="7"/>
  <c r="C51" i="7"/>
  <c r="C52" i="7"/>
  <c r="C53" i="7"/>
  <c r="B39" i="7"/>
  <c r="K53" i="7" l="1"/>
  <c r="M53" i="7" s="1"/>
  <c r="K42" i="7"/>
  <c r="M42" i="7" s="1"/>
  <c r="K46" i="7"/>
  <c r="M46" i="7" s="1"/>
  <c r="K47" i="7"/>
  <c r="M47" i="7" s="1"/>
  <c r="K52" i="7"/>
  <c r="M52" i="7" s="1"/>
  <c r="K44" i="7"/>
  <c r="M44" i="7" s="1"/>
  <c r="K50" i="7"/>
  <c r="M50" i="7" s="1"/>
  <c r="K51" i="7"/>
  <c r="M51" i="7" s="1"/>
  <c r="K43" i="7"/>
  <c r="M43" i="7" s="1"/>
  <c r="K48" i="7"/>
  <c r="M48" i="7" s="1"/>
  <c r="K45" i="7"/>
  <c r="M45" i="7" s="1"/>
  <c r="K49" i="7"/>
  <c r="M49" i="7" s="1"/>
  <c r="H53" i="6"/>
  <c r="H52" i="6"/>
  <c r="H51" i="6"/>
  <c r="H50" i="6"/>
  <c r="H49" i="6"/>
  <c r="H48" i="6"/>
  <c r="H47" i="6"/>
  <c r="H46" i="6"/>
  <c r="H45" i="6"/>
  <c r="H44" i="6"/>
  <c r="H43" i="6"/>
  <c r="I43" i="6"/>
  <c r="K43" i="6" s="1"/>
  <c r="G43" i="6"/>
  <c r="G44" i="6"/>
  <c r="G45" i="6"/>
  <c r="G46" i="6"/>
  <c r="G47" i="6"/>
  <c r="G48" i="6"/>
  <c r="G49" i="6"/>
  <c r="G50" i="6"/>
  <c r="G51" i="6"/>
  <c r="G52" i="6"/>
  <c r="G53" i="6"/>
  <c r="E44" i="6"/>
  <c r="E45" i="6"/>
  <c r="E46" i="6"/>
  <c r="E47" i="6"/>
  <c r="E48" i="6"/>
  <c r="E49" i="6"/>
  <c r="E50" i="6"/>
  <c r="E51" i="6"/>
  <c r="E52" i="6"/>
  <c r="E53" i="6"/>
  <c r="D42" i="6"/>
  <c r="M43" i="6"/>
  <c r="M44" i="6"/>
  <c r="M45" i="6"/>
  <c r="M46" i="6"/>
  <c r="M47" i="6"/>
  <c r="M48" i="6"/>
  <c r="M49" i="6"/>
  <c r="M50" i="6"/>
  <c r="M51" i="6"/>
  <c r="M52" i="6"/>
  <c r="M53" i="6"/>
  <c r="M42" i="6"/>
  <c r="D43" i="6"/>
  <c r="D44" i="6"/>
  <c r="D45" i="6"/>
  <c r="D46" i="6"/>
  <c r="D47" i="6"/>
  <c r="D48" i="6"/>
  <c r="D49" i="6"/>
  <c r="D50" i="6"/>
  <c r="D51" i="6"/>
  <c r="D52" i="6"/>
  <c r="D53" i="6"/>
  <c r="L43" i="6"/>
  <c r="L44" i="6"/>
  <c r="L45" i="6"/>
  <c r="L46" i="6"/>
  <c r="L47" i="6"/>
  <c r="L48" i="6"/>
  <c r="L49" i="6"/>
  <c r="L50" i="6"/>
  <c r="L51" i="6"/>
  <c r="L52" i="6"/>
  <c r="L53" i="6"/>
  <c r="L42" i="6"/>
  <c r="I42" i="6" l="1"/>
  <c r="K42" i="6" s="1"/>
  <c r="I50" i="6"/>
  <c r="K50" i="6" s="1"/>
  <c r="I46" i="6"/>
  <c r="K46" i="6" s="1"/>
  <c r="I53" i="6"/>
  <c r="K53" i="6" s="1"/>
  <c r="I49" i="6"/>
  <c r="K49" i="6" s="1"/>
  <c r="I45" i="6"/>
  <c r="K45" i="6" s="1"/>
  <c r="I52" i="6"/>
  <c r="K52" i="6" s="1"/>
  <c r="I48" i="6"/>
  <c r="K48" i="6" s="1"/>
  <c r="I44" i="6"/>
  <c r="K44" i="6" s="1"/>
  <c r="I51" i="6"/>
  <c r="K51" i="6" s="1"/>
  <c r="I47" i="6"/>
  <c r="K47" i="6" s="1"/>
  <c r="C43" i="6"/>
  <c r="C44" i="6"/>
  <c r="C45" i="6"/>
  <c r="C46" i="6"/>
  <c r="C47" i="6"/>
  <c r="C48" i="6"/>
  <c r="C49" i="6"/>
  <c r="C50" i="6"/>
  <c r="C51" i="6"/>
  <c r="C52" i="6"/>
  <c r="C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D294896A-7220-4210-9298-102A7CDB7923}">
      <text>
        <r>
          <rPr>
            <b/>
            <sz val="9"/>
            <color indexed="81"/>
            <rFont val="Tahoma"/>
            <family val="2"/>
          </rPr>
          <t>Vander Aa Sander:</t>
        </r>
        <r>
          <rPr>
            <sz val="9"/>
            <color indexed="81"/>
            <rFont val="Tahoma"/>
            <family val="2"/>
          </rPr>
          <t xml:space="preserve">
Dit zijn de afmetingen van de grote middel tank</t>
        </r>
      </text>
    </comment>
    <comment ref="C28" authorId="0" shapeId="0" xr:uid="{5F0EF199-1FB0-4A40-8A68-E985D1CF843A}">
      <text>
        <r>
          <rPr>
            <b/>
            <sz val="9"/>
            <color indexed="81"/>
            <rFont val="Tahoma"/>
            <family val="2"/>
          </rPr>
          <t>Vander Aa Sander:</t>
        </r>
        <r>
          <rPr>
            <sz val="9"/>
            <color indexed="81"/>
            <rFont val="Tahoma"/>
            <family val="2"/>
          </rPr>
          <t xml:space="preserve">
Dit zijn de afmetingen van de grote middel tank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7A7B42ED-4698-4CF9-BCD7-B70A62D66834}">
      <text>
        <r>
          <rPr>
            <b/>
            <sz val="9"/>
            <color indexed="81"/>
            <rFont val="Tahoma"/>
            <family val="2"/>
          </rPr>
          <t>Vander Aa Sander:</t>
        </r>
        <r>
          <rPr>
            <sz val="9"/>
            <color indexed="81"/>
            <rFont val="Tahoma"/>
            <family val="2"/>
          </rPr>
          <t xml:space="preserve">
Dit zijn de afmetingen van de grote middel tank</t>
        </r>
      </text>
    </comment>
    <comment ref="C28" authorId="0" shapeId="0" xr:uid="{3F836697-965C-4D9F-8888-B172B3C29BDF}">
      <text>
        <r>
          <rPr>
            <b/>
            <sz val="9"/>
            <color indexed="81"/>
            <rFont val="Tahoma"/>
            <family val="2"/>
          </rPr>
          <t>Vander Aa Sander:</t>
        </r>
        <r>
          <rPr>
            <sz val="9"/>
            <color indexed="81"/>
            <rFont val="Tahoma"/>
            <family val="2"/>
          </rPr>
          <t xml:space="preserve">
Dit zijn de afmetingen van de grote middel tank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6DE2B90F-E446-4F5E-ABC1-EF659041F0EA}">
      <text>
        <r>
          <rPr>
            <b/>
            <sz val="9"/>
            <color indexed="81"/>
            <rFont val="Tahoma"/>
            <family val="2"/>
          </rPr>
          <t>Vander Aa Sander:</t>
        </r>
        <r>
          <rPr>
            <sz val="9"/>
            <color indexed="81"/>
            <rFont val="Tahoma"/>
            <family val="2"/>
          </rPr>
          <t xml:space="preserve">
Dit zijn de afmetingen van de grote middel tank</t>
        </r>
      </text>
    </comment>
    <comment ref="C28" authorId="0" shapeId="0" xr:uid="{71D8A529-146A-4290-988C-96A139D21D89}">
      <text>
        <r>
          <rPr>
            <b/>
            <sz val="9"/>
            <color indexed="81"/>
            <rFont val="Tahoma"/>
            <family val="2"/>
          </rPr>
          <t>Vander Aa Sander:</t>
        </r>
        <r>
          <rPr>
            <sz val="9"/>
            <color indexed="81"/>
            <rFont val="Tahoma"/>
            <family val="2"/>
          </rPr>
          <t xml:space="preserve">
Dit zijn de afmetingen van de grote middel tank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Vander Aa Sander</author>
  </authors>
  <commentList>
    <comment ref="C14" authorId="0" shapeId="0" xr:uid="{55BFEE93-0B94-43B8-8F24-18A0EAD9E0B8}">
      <text>
        <r>
          <rPr>
            <b/>
            <sz val="9"/>
            <color indexed="81"/>
            <rFont val="Tahoma"/>
            <family val="2"/>
          </rPr>
          <t>Vander Aa Sander:</t>
        </r>
        <r>
          <rPr>
            <sz val="9"/>
            <color indexed="81"/>
            <rFont val="Tahoma"/>
            <family val="2"/>
          </rPr>
          <t xml:space="preserve">
Dit zijn de afmetingen van de grote middel tank</t>
        </r>
      </text>
    </comment>
    <comment ref="C28" authorId="0" shapeId="0" xr:uid="{0E798BE2-2DE3-43D3-96B9-595DDC6F7BAD}">
      <text>
        <r>
          <rPr>
            <b/>
            <sz val="9"/>
            <color indexed="81"/>
            <rFont val="Tahoma"/>
            <family val="2"/>
          </rPr>
          <t>Vander Aa Sander:</t>
        </r>
        <r>
          <rPr>
            <sz val="9"/>
            <color indexed="81"/>
            <rFont val="Tahoma"/>
            <family val="2"/>
          </rPr>
          <t xml:space="preserve">
Dit zijn de afmetingen van de grote middel tank</t>
        </r>
      </text>
    </comment>
  </commentList>
</comments>
</file>

<file path=xl/sharedStrings.xml><?xml version="1.0" encoding="utf-8"?>
<sst xmlns="http://schemas.openxmlformats.org/spreadsheetml/2006/main" count="879" uniqueCount="119">
  <si>
    <t>Hoog</t>
  </si>
  <si>
    <t>Eén grote middel tank en drie kleinere hoge tanks (even hoog als grote tank, halve straal van grote tank) in een gedeelde inkuiping</t>
  </si>
  <si>
    <t>Vier even grote hoge tanks in een gedeelde inkuiping </t>
  </si>
  <si>
    <t>Twee even grote hoge tanks in een gedeelde inkuiping</t>
  </si>
  <si>
    <t>Twee even grote middel tanks in een gedeelde inkuiping</t>
  </si>
  <si>
    <t>Eén smalle, hoge tank</t>
  </si>
  <si>
    <t>Eén lage tank</t>
  </si>
  <si>
    <t>100% grootste houder + 25% overige houders</t>
  </si>
  <si>
    <t>Inkuiping 50% alle houders</t>
  </si>
  <si>
    <t>Inkuiping 25% alle houders</t>
  </si>
  <si>
    <t>Inkuiping 110% grootste houder</t>
  </si>
  <si>
    <t>Inkuiping 100% grootste houder</t>
  </si>
  <si>
    <t>Hoogte inkuipingswand</t>
  </si>
  <si>
    <t>Hoogte tank</t>
  </si>
  <si>
    <t>Straal tank</t>
  </si>
  <si>
    <t>Inkuipingswand</t>
  </si>
  <si>
    <t>Type(s) tank(s)</t>
  </si>
  <si>
    <t>Lage tank</t>
  </si>
  <si>
    <t>Middel tank</t>
  </si>
  <si>
    <t>Hoge tank</t>
  </si>
  <si>
    <t>Smalle, hoge tank</t>
  </si>
  <si>
    <t>Hoogte inkuipingswand/hoogte tank</t>
  </si>
  <si>
    <t>100% alle houders</t>
  </si>
  <si>
    <t>Gemiddeld</t>
  </si>
  <si>
    <t>Lage vaste hoogte</t>
  </si>
  <si>
    <t>Hoge vaste hoogte</t>
  </si>
  <si>
    <t>Volume inkuiping bij inkuipingswand i.f.v. tankhoogte</t>
  </si>
  <si>
    <t>Volume inkuiping bij inkuipingswand onafhankelijk van tankhoogte</t>
  </si>
  <si>
    <t>Zijde van vierkante inkuiping bij inkuipingswand onafhankelijk van tankhoogte</t>
  </si>
  <si>
    <t>Zijde van vierkante inkuiping bij inkuipingswand i.f.v. tankhoogte</t>
  </si>
  <si>
    <t>Marge</t>
  </si>
  <si>
    <t>Aantal tanks</t>
  </si>
  <si>
    <t>Falen alle tanks - 50% gevuld (bruto)</t>
  </si>
  <si>
    <t>Falen grootste tank + 25% overige tanks (bruto)</t>
  </si>
  <si>
    <t>Falen alle tanks - 100% gevuld (bruto)</t>
  </si>
  <si>
    <t>VLAREM: 100% grootste tank (= falen grootste tank)</t>
  </si>
  <si>
    <t>Tankvolume (m³)</t>
  </si>
  <si>
    <t>Hoogte inkuiping (m)</t>
  </si>
  <si>
    <t>Tankhoogte (m)</t>
  </si>
  <si>
    <t>Straal tank (m)</t>
  </si>
  <si>
    <t>Falen grootste tank + 1u blussen plasbrand inkuiping (6,5l/min/m²)</t>
  </si>
  <si>
    <t>Scenario</t>
  </si>
  <si>
    <t>Volume (m³)</t>
  </si>
  <si>
    <t>Deze invoerwaarden kunnen worden aangepast. Data draaitabel en -grafiek steeds te verversen na wijziging invoer (ctrl+alt+f5)</t>
  </si>
  <si>
    <t>Deze invoerwaarden kunnen worden aangepast</t>
  </si>
  <si>
    <t>Hoogte inkuipingswand (m)</t>
  </si>
  <si>
    <t>Volume inkuiping bij inkuipingswand i.f.v. tankhoogte - berekend volgens brutovolume</t>
  </si>
  <si>
    <t>Volume inkuiping bij inkuipingswand onafhankelijk van tankhoogte - berekend volgens brutovolume</t>
  </si>
  <si>
    <t>VLAREM: 100% alle tanks</t>
  </si>
  <si>
    <t>VLAREM: 50% alle tanks</t>
  </si>
  <si>
    <t>VLAREM: 100% grootste tank + 25% overige tanks</t>
  </si>
  <si>
    <t>110% grootste tank</t>
  </si>
  <si>
    <t>100% grootste tank + 0,25 m hoogte</t>
  </si>
  <si>
    <t>Falen grootste tank +  4u koelen overige tanks (2l/min/m² tankopp.)</t>
  </si>
  <si>
    <t>Falen grootste tank + 1u blussen inkuiping + 4u koelen overige tanks</t>
  </si>
  <si>
    <t xml:space="preserve"> Volume tankenpark met even grote tanks (m³)</t>
  </si>
  <si>
    <t>Volume grootste tank</t>
  </si>
  <si>
    <t>Volume alle tanks</t>
  </si>
  <si>
    <t>110% grootste houder + 10% overige houders</t>
  </si>
  <si>
    <t>Zijde van vierkante inkuiping bij inkuipingswand i.f.v. tankhoogte - berekend volgens brutovolume</t>
  </si>
  <si>
    <t>Zijde van vierkante inkuiping bij inkuipingswand onafhankelijk van tankhoogte - berekend volgens brutovolume</t>
  </si>
  <si>
    <t>Tanktypes</t>
  </si>
  <si>
    <t>Inkuipingswanden</t>
  </si>
  <si>
    <t>Correctiefactor</t>
  </si>
  <si>
    <t>Straal/hoogte tank</t>
  </si>
  <si>
    <t>Lage inkuipingswand</t>
  </si>
  <si>
    <t>Middel inkuipingswand</t>
  </si>
  <si>
    <t>Hoge inkuipingswand</t>
  </si>
  <si>
    <t>Som (afstand tank-inkuipingswand + hoogte inkuipingswand) / hoogte tank</t>
  </si>
  <si>
    <t>Afstand inkuipingswand tot tank / hoogte tank</t>
  </si>
  <si>
    <t>Volume inkuiping / Volume inkuiping bij 100% grootste tank</t>
  </si>
  <si>
    <t>100% inkuiping, geen regels voor afstand of hoogte</t>
  </si>
  <si>
    <t>110% inkuiping, geen regels voor afstand of hoogte</t>
  </si>
  <si>
    <t>100% grootste tank, afstand inkuipingswand tot tank minimaal helft hoogte tank (cfr. huidige sectorale voorwaarde)</t>
  </si>
  <si>
    <t>100% grootste tank, afstand inkuipingswand tot tank minimaal helft diameter tank</t>
  </si>
  <si>
    <t>100% grootste tank, geen regels voor afstand of hoogte</t>
  </si>
  <si>
    <t>110% grootste tank, geen regels voor afstand of hoogte</t>
  </si>
  <si>
    <t>100% grootste tank + 25% overige tanks, geen regels voor afstand of hoogte</t>
  </si>
  <si>
    <t>50% alle tanks, geen regels voor afstand of hoogte</t>
  </si>
  <si>
    <t>100% alle tanks, geen regels voor afstand of hoogte</t>
  </si>
  <si>
    <t>Berekende waarde</t>
  </si>
  <si>
    <t>100% grootste houder + marge</t>
  </si>
  <si>
    <t>Vloeistofstraal IBC op hoogte</t>
  </si>
  <si>
    <t>(2*g*h)^0,5</t>
  </si>
  <si>
    <t>(2*g)^0,5</t>
  </si>
  <si>
    <t>(2*H/g)^0,5</t>
  </si>
  <si>
    <t>Uitstroomsnelheid bij klein gat (Toricelli)</t>
  </si>
  <si>
    <t>Valtijd</t>
  </si>
  <si>
    <t>2*(H)^0,5</t>
  </si>
  <si>
    <t>H</t>
  </si>
  <si>
    <t>Horizontale afstand vloeistofstraal (lek onderaan IBC, zonder wrijving)</t>
  </si>
  <si>
    <t>h</t>
  </si>
  <si>
    <t>Hoogte bovenkant houder ten opzichte van vloer</t>
  </si>
  <si>
    <t>Hb</t>
  </si>
  <si>
    <t>Valversnelling</t>
  </si>
  <si>
    <t>g</t>
  </si>
  <si>
    <t>Hoogte lek ten opzichte van vloer H (onderkant IBC)</t>
  </si>
  <si>
    <t>Bovenkant IBC Hb</t>
  </si>
  <si>
    <t xml:space="preserve">Voor lek onderaan IBC (h = 1 meter) </t>
  </si>
  <si>
    <t>Horizontale afstand vloeistofstraal, met correctiefactor 0,62</t>
  </si>
  <si>
    <t>Horizontale afstand vloeistofstraal (zonder wrijving)</t>
  </si>
  <si>
    <t>Horizontale afstand bij lek op hoogte H, uit een op vloer geplaatste, 8 meter hoge houder</t>
  </si>
  <si>
    <t>Horizontale afstand bij lek  op hoogte H, uit een op vloer geplaatste, 8 meter hoge houder, met correctiefactor 0,62</t>
  </si>
  <si>
    <t>Hoogtes &amp; afstanden uitgedrukt in meter</t>
  </si>
  <si>
    <t>Hoogte onderkant houder ten opzichte van vloer</t>
  </si>
  <si>
    <t>Ho</t>
  </si>
  <si>
    <t>Vloeistofhoogte boven lek (=eigen hoogte houder)</t>
  </si>
  <si>
    <t>Hoogte lek ten opzichte van vloer (= Ho)</t>
  </si>
  <si>
    <t>Vloeistofstraal tankcontainer op hoogte</t>
  </si>
  <si>
    <t>Bovenkant tankcontainer Hb</t>
  </si>
  <si>
    <t>Hoogte lek ten opzichte van vloer H (onderkant tankcontainer)</t>
  </si>
  <si>
    <t>h = 2,5 m</t>
  </si>
  <si>
    <t>(2*g*2,5)^0,5</t>
  </si>
  <si>
    <t xml:space="preserve">Voor lek onderaan tankcontainer (h = 2,5 meter) </t>
  </si>
  <si>
    <t>2*(H*2,5)^0,5</t>
  </si>
  <si>
    <t>Horizontale afstand vloeistofstraal (lek onderaan tankcontainer, zonder wrijving)</t>
  </si>
  <si>
    <t>Rekenregel A minimumafstand: helft hoogte bovenkant houder (Hb/2)</t>
  </si>
  <si>
    <t>Rekenregel B minimumafstand: hoogte onderkant houder/3 + eigen hoogte houder (Ho/3 + h)</t>
  </si>
  <si>
    <t>100% grootste tank, som (afstand inkuipingswand tot tank + hoogte inkuipingswand) is minimaal hoogte tank, correctie (cfr. voorstel H4)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</si>
</sst>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0.0&quot; m³&quot;"/>
    <numFmt numFmtId="165" formatCode="0.0&quot; m&quot;"/>
    <numFmt numFmtId="166" formatCode="0.0"/>
    <numFmt numFmtId="167" formatCode="0.00&quot; m&quot;"/>
    <numFmt numFmtId="168" formatCode="&quot;100% grootste houder + &quot;0.00&quot; m&quot;"/>
    <numFmt numFmtId="169" formatCode="0.0&quot; m²&quot;"/>
    <numFmt numFmtId="170" formatCode="_-* #,##0\ _€_-;\-* #,##0\ _€_-;_-* &quot;-&quot;??\ _€_-;_-@_-"/>
  </numFmts>
  <fonts count="13"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name val="Calibri"/>
      <family val="2"/>
      <scheme val="minor"/>
    </font>
    <font>
      <b/>
      <sz val="9"/>
      <color indexed="81"/>
      <name val="Tahoma"/>
      <family val="2"/>
    </font>
    <font>
      <sz val="9"/>
      <color indexed="81"/>
      <name val="Tahoma"/>
      <family val="2"/>
    </font>
    <font>
      <b/>
      <sz val="11"/>
      <color rgb="FFFA7D00"/>
      <name val="Calibri"/>
      <family val="2"/>
      <scheme val="minor"/>
    </font>
    <font>
      <b/>
      <sz val="12"/>
      <color rgb="FFFA7D00"/>
      <name val="Calibri"/>
      <family val="2"/>
      <scheme val="minor"/>
    </font>
    <font>
      <b/>
      <sz val="12"/>
      <color theme="1"/>
      <name val="Calibri"/>
      <family val="2"/>
      <scheme val="minor"/>
    </font>
    <font>
      <b/>
      <sz val="12"/>
      <color rgb="FF3F3F76"/>
      <name val="Calibri"/>
      <family val="2"/>
      <scheme val="minor"/>
    </font>
    <font>
      <b/>
      <sz val="11"/>
      <color rgb="FF3F3F76"/>
      <name val="Calibri"/>
      <family val="2"/>
      <scheme val="minor"/>
    </font>
    <font>
      <b/>
      <sz val="11"/>
      <name val="Calibri"/>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rgb="FF7F7F7F"/>
      </left>
      <right style="thin">
        <color rgb="FF7F7F7F"/>
      </right>
      <top/>
      <bottom style="thin">
        <color rgb="FF7F7F7F"/>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7" fillId="3" borderId="1" applyNumberFormat="0" applyAlignment="0" applyProtection="0"/>
    <xf numFmtId="43" fontId="1" fillId="0" borderId="0" applyFont="0" applyFill="0" applyBorder="0" applyAlignment="0" applyProtection="0"/>
  </cellStyleXfs>
  <cellXfs count="204">
    <xf numFmtId="0" fontId="0" fillId="0" borderId="0" xfId="0"/>
    <xf numFmtId="0" fontId="3" fillId="0" borderId="2" xfId="0" applyFont="1" applyBorder="1"/>
    <xf numFmtId="0" fontId="0" fillId="0" borderId="0" xfId="0"/>
    <xf numFmtId="0" fontId="0" fillId="0" borderId="0" xfId="0" applyFill="1"/>
    <xf numFmtId="0" fontId="0" fillId="0" borderId="5" xfId="0" applyBorder="1"/>
    <xf numFmtId="164" fontId="2" fillId="2" borderId="5" xfId="2" applyNumberFormat="1" applyBorder="1"/>
    <xf numFmtId="165" fontId="0" fillId="0" borderId="5" xfId="0" applyNumberFormat="1" applyBorder="1"/>
    <xf numFmtId="164" fontId="0" fillId="0" borderId="5" xfId="0" applyNumberFormat="1" applyBorder="1"/>
    <xf numFmtId="164" fontId="0" fillId="0" borderId="6" xfId="0" applyNumberFormat="1" applyBorder="1"/>
    <xf numFmtId="0" fontId="0" fillId="0" borderId="8" xfId="0" applyBorder="1"/>
    <xf numFmtId="164" fontId="0" fillId="0" borderId="8" xfId="0" applyNumberFormat="1" applyBorder="1"/>
    <xf numFmtId="165" fontId="0" fillId="0" borderId="8" xfId="0" applyNumberFormat="1" applyBorder="1"/>
    <xf numFmtId="164" fontId="0" fillId="0" borderId="9" xfId="0" applyNumberFormat="1" applyBorder="1"/>
    <xf numFmtId="165" fontId="0" fillId="0" borderId="8" xfId="0" applyNumberFormat="1" applyFill="1" applyBorder="1"/>
    <xf numFmtId="164" fontId="4" fillId="0" borderId="8" xfId="0" applyNumberFormat="1" applyFont="1" applyBorder="1"/>
    <xf numFmtId="0" fontId="0" fillId="0" borderId="3" xfId="0" applyBorder="1"/>
    <xf numFmtId="164" fontId="0" fillId="0" borderId="3" xfId="0" applyNumberFormat="1" applyBorder="1"/>
    <xf numFmtId="165" fontId="0" fillId="0" borderId="3" xfId="0" applyNumberFormat="1" applyBorder="1"/>
    <xf numFmtId="164" fontId="0" fillId="0" borderId="11" xfId="0" applyNumberFormat="1" applyBorder="1"/>
    <xf numFmtId="165" fontId="0" fillId="0" borderId="5" xfId="0" applyNumberFormat="1" applyFill="1" applyBorder="1"/>
    <xf numFmtId="0" fontId="0" fillId="0" borderId="8" xfId="0" applyFill="1" applyBorder="1"/>
    <xf numFmtId="164" fontId="0" fillId="0" borderId="5" xfId="0" applyNumberFormat="1" applyFill="1" applyBorder="1"/>
    <xf numFmtId="164" fontId="0" fillId="0" borderId="6" xfId="0" applyNumberFormat="1" applyFill="1" applyBorder="1"/>
    <xf numFmtId="164" fontId="0" fillId="0" borderId="8" xfId="0" applyNumberFormat="1" applyFill="1" applyBorder="1"/>
    <xf numFmtId="164" fontId="0" fillId="0" borderId="9" xfId="0" applyNumberFormat="1" applyFill="1" applyBorder="1"/>
    <xf numFmtId="0" fontId="3" fillId="0" borderId="12" xfId="0" applyFont="1" applyBorder="1"/>
    <xf numFmtId="0" fontId="3" fillId="0" borderId="13" xfId="0" applyFont="1" applyBorder="1"/>
    <xf numFmtId="164" fontId="4" fillId="0" borderId="5" xfId="0" applyNumberFormat="1" applyFont="1" applyBorder="1"/>
    <xf numFmtId="165" fontId="0" fillId="0" borderId="17" xfId="0" applyNumberFormat="1" applyBorder="1"/>
    <xf numFmtId="165" fontId="0" fillId="0" borderId="18" xfId="0" applyNumberFormat="1" applyBorder="1"/>
    <xf numFmtId="164" fontId="0" fillId="0" borderId="4" xfId="0" applyNumberFormat="1" applyBorder="1"/>
    <xf numFmtId="164" fontId="0" fillId="0" borderId="10" xfId="0" applyNumberFormat="1" applyBorder="1"/>
    <xf numFmtId="164" fontId="0" fillId="0" borderId="7" xfId="0" applyNumberFormat="1" applyBorder="1"/>
    <xf numFmtId="164" fontId="0" fillId="0" borderId="4" xfId="0" applyNumberFormat="1" applyFill="1" applyBorder="1"/>
    <xf numFmtId="164" fontId="0" fillId="0" borderId="7" xfId="0" applyNumberFormat="1" applyFill="1" applyBorder="1"/>
    <xf numFmtId="0" fontId="3" fillId="0" borderId="19" xfId="0" applyFont="1" applyBorder="1" applyAlignment="1">
      <alignment wrapText="1"/>
    </xf>
    <xf numFmtId="9" fontId="3" fillId="0" borderId="15" xfId="0" applyNumberFormat="1" applyFont="1" applyBorder="1" applyAlignment="1">
      <alignment wrapText="1"/>
    </xf>
    <xf numFmtId="0" fontId="3" fillId="0" borderId="20" xfId="0" applyFont="1" applyBorder="1" applyAlignment="1">
      <alignment wrapText="1"/>
    </xf>
    <xf numFmtId="0" fontId="3" fillId="0" borderId="21" xfId="0" applyFont="1" applyBorder="1" applyAlignment="1">
      <alignment wrapText="1"/>
    </xf>
    <xf numFmtId="9" fontId="3" fillId="0" borderId="21" xfId="0" applyNumberFormat="1" applyFont="1" applyBorder="1" applyAlignment="1">
      <alignment wrapText="1"/>
    </xf>
    <xf numFmtId="0" fontId="3" fillId="0" borderId="22" xfId="0" applyFont="1" applyBorder="1" applyAlignment="1">
      <alignment wrapText="1"/>
    </xf>
    <xf numFmtId="0" fontId="3" fillId="0" borderId="14" xfId="0" applyFont="1" applyBorder="1"/>
    <xf numFmtId="0" fontId="3" fillId="0" borderId="15" xfId="0" applyFont="1" applyBorder="1"/>
    <xf numFmtId="164" fontId="0" fillId="0" borderId="5" xfId="0" applyNumberFormat="1" applyBorder="1" applyAlignment="1">
      <alignment horizontal="right"/>
    </xf>
    <xf numFmtId="164" fontId="0" fillId="0" borderId="3" xfId="0" applyNumberFormat="1" applyBorder="1" applyAlignment="1">
      <alignment horizontal="right"/>
    </xf>
    <xf numFmtId="164" fontId="0" fillId="0" borderId="8" xfId="0" applyNumberFormat="1" applyBorder="1" applyAlignment="1">
      <alignment horizontal="right"/>
    </xf>
    <xf numFmtId="164" fontId="0" fillId="0" borderId="5" xfId="0" applyNumberFormat="1" applyFill="1" applyBorder="1" applyAlignment="1">
      <alignment horizontal="right"/>
    </xf>
    <xf numFmtId="164" fontId="0" fillId="0" borderId="8" xfId="0" applyNumberFormat="1" applyFill="1" applyBorder="1" applyAlignment="1">
      <alignment horizontal="right"/>
    </xf>
    <xf numFmtId="164" fontId="4" fillId="0" borderId="5" xfId="0" applyNumberFormat="1" applyFont="1" applyBorder="1" applyAlignment="1">
      <alignment horizontal="right"/>
    </xf>
    <xf numFmtId="164" fontId="4" fillId="0" borderId="8" xfId="0" applyNumberFormat="1" applyFont="1" applyBorder="1" applyAlignment="1">
      <alignment horizontal="right"/>
    </xf>
    <xf numFmtId="169" fontId="0" fillId="0" borderId="4" xfId="0" applyNumberFormat="1" applyBorder="1"/>
    <xf numFmtId="169" fontId="0" fillId="0" borderId="5" xfId="0" applyNumberFormat="1" applyBorder="1"/>
    <xf numFmtId="169" fontId="0" fillId="0" borderId="5" xfId="0" applyNumberFormat="1" applyBorder="1" applyAlignment="1">
      <alignment horizontal="right"/>
    </xf>
    <xf numFmtId="169" fontId="0" fillId="0" borderId="6" xfId="0" applyNumberFormat="1" applyBorder="1"/>
    <xf numFmtId="169" fontId="0" fillId="0" borderId="7" xfId="0" applyNumberFormat="1" applyBorder="1"/>
    <xf numFmtId="169" fontId="0" fillId="0" borderId="8" xfId="0" applyNumberFormat="1" applyBorder="1"/>
    <xf numFmtId="169" fontId="0" fillId="0" borderId="8" xfId="0" applyNumberFormat="1" applyBorder="1" applyAlignment="1">
      <alignment horizontal="right"/>
    </xf>
    <xf numFmtId="169" fontId="0" fillId="0" borderId="9" xfId="0" applyNumberFormat="1" applyBorder="1"/>
    <xf numFmtId="169" fontId="0" fillId="0" borderId="24" xfId="0" applyNumberFormat="1" applyBorder="1"/>
    <xf numFmtId="169" fontId="0" fillId="0" borderId="25" xfId="0" applyNumberFormat="1" applyBorder="1"/>
    <xf numFmtId="169" fontId="0" fillId="0" borderId="25" xfId="0" applyNumberFormat="1" applyBorder="1" applyAlignment="1">
      <alignment horizontal="right"/>
    </xf>
    <xf numFmtId="169" fontId="0" fillId="0" borderId="26" xfId="0" applyNumberFormat="1" applyBorder="1"/>
    <xf numFmtId="0" fontId="0" fillId="0" borderId="0" xfId="0" applyAlignment="1">
      <alignment wrapText="1"/>
    </xf>
    <xf numFmtId="0" fontId="9" fillId="0" borderId="0" xfId="0" applyFont="1"/>
    <xf numFmtId="0" fontId="9" fillId="0" borderId="0" xfId="0" applyFont="1" applyFill="1"/>
    <xf numFmtId="0" fontId="9" fillId="0" borderId="2" xfId="0" applyFont="1" applyBorder="1"/>
    <xf numFmtId="0" fontId="8" fillId="3" borderId="2" xfId="3" applyFont="1" applyBorder="1"/>
    <xf numFmtId="1" fontId="0" fillId="0" borderId="2" xfId="0" applyNumberFormat="1" applyBorder="1"/>
    <xf numFmtId="0" fontId="3" fillId="0" borderId="15" xfId="0" applyFont="1" applyBorder="1" applyAlignment="1">
      <alignment wrapText="1"/>
    </xf>
    <xf numFmtId="0" fontId="3" fillId="0" borderId="16" xfId="0" applyFont="1" applyBorder="1" applyAlignment="1">
      <alignment wrapText="1"/>
    </xf>
    <xf numFmtId="0" fontId="2" fillId="2" borderId="1" xfId="2"/>
    <xf numFmtId="0" fontId="11" fillId="2" borderId="1" xfId="2" applyFont="1"/>
    <xf numFmtId="0" fontId="3" fillId="0" borderId="25" xfId="0" applyFont="1" applyFill="1" applyBorder="1" applyAlignment="1">
      <alignment wrapText="1"/>
    </xf>
    <xf numFmtId="0" fontId="0" fillId="0" borderId="2" xfId="0" applyFont="1" applyFill="1" applyBorder="1" applyAlignment="1">
      <alignment wrapText="1"/>
    </xf>
    <xf numFmtId="1" fontId="0" fillId="0" borderId="2" xfId="0" applyNumberFormat="1" applyFont="1" applyFill="1" applyBorder="1"/>
    <xf numFmtId="1" fontId="0" fillId="0" borderId="2" xfId="0" quotePrefix="1" applyNumberFormat="1" applyFont="1" applyFill="1" applyBorder="1"/>
    <xf numFmtId="0" fontId="0" fillId="0" borderId="0" xfId="0" pivotButton="1"/>
    <xf numFmtId="0" fontId="3" fillId="0" borderId="25" xfId="0" applyFont="1" applyBorder="1" applyAlignment="1">
      <alignment wrapText="1"/>
    </xf>
    <xf numFmtId="0" fontId="10" fillId="2" borderId="2" xfId="2" applyFont="1" applyBorder="1" applyAlignment="1">
      <alignment wrapText="1"/>
    </xf>
    <xf numFmtId="0" fontId="3" fillId="0" borderId="30" xfId="0" applyFont="1" applyBorder="1" applyAlignment="1">
      <alignment wrapText="1"/>
    </xf>
    <xf numFmtId="0" fontId="3" fillId="0" borderId="29" xfId="0" applyFont="1" applyBorder="1" applyAlignment="1">
      <alignment wrapText="1"/>
    </xf>
    <xf numFmtId="1" fontId="0" fillId="0" borderId="28" xfId="0" applyNumberFormat="1" applyBorder="1"/>
    <xf numFmtId="1" fontId="0" fillId="0" borderId="31" xfId="0" applyNumberFormat="1" applyBorder="1"/>
    <xf numFmtId="0" fontId="0" fillId="0" borderId="0" xfId="0" pivotButton="1" applyAlignment="1">
      <alignment wrapText="1"/>
    </xf>
    <xf numFmtId="1" fontId="0" fillId="0" borderId="0" xfId="0" applyNumberFormat="1" applyAlignment="1">
      <alignment horizontal="right"/>
    </xf>
    <xf numFmtId="0" fontId="0" fillId="0" borderId="0" xfId="0" pivotButton="1" applyAlignment="1">
      <alignment horizontal="left"/>
    </xf>
    <xf numFmtId="0" fontId="3" fillId="0" borderId="13" xfId="0" applyFont="1" applyBorder="1" applyAlignment="1">
      <alignment wrapText="1"/>
    </xf>
    <xf numFmtId="0" fontId="0" fillId="0" borderId="25" xfId="0" applyBorder="1"/>
    <xf numFmtId="164" fontId="0" fillId="0" borderId="25" xfId="0" applyNumberFormat="1" applyBorder="1"/>
    <xf numFmtId="165" fontId="0" fillId="0" borderId="25" xfId="0" applyNumberFormat="1" applyBorder="1"/>
    <xf numFmtId="165" fontId="2" fillId="2" borderId="32" xfId="2" applyNumberFormat="1" applyBorder="1"/>
    <xf numFmtId="165" fontId="2" fillId="2" borderId="1" xfId="2" applyNumberFormat="1"/>
    <xf numFmtId="165" fontId="0" fillId="0" borderId="6" xfId="0" applyNumberFormat="1" applyBorder="1"/>
    <xf numFmtId="165" fontId="0" fillId="0" borderId="9" xfId="0" applyNumberFormat="1" applyBorder="1"/>
    <xf numFmtId="166" fontId="0" fillId="0" borderId="0" xfId="0" applyNumberFormat="1"/>
    <xf numFmtId="164" fontId="0" fillId="0" borderId="0" xfId="0" applyNumberFormat="1"/>
    <xf numFmtId="0" fontId="3" fillId="0" borderId="23" xfId="0" applyFont="1" applyBorder="1"/>
    <xf numFmtId="0" fontId="3" fillId="0" borderId="33" xfId="0" applyFont="1" applyBorder="1"/>
    <xf numFmtId="0" fontId="3" fillId="0" borderId="34" xfId="0" applyFont="1" applyBorder="1" applyAlignment="1">
      <alignment wrapText="1"/>
    </xf>
    <xf numFmtId="0" fontId="3" fillId="0" borderId="12" xfId="0" applyFont="1" applyBorder="1" applyAlignment="1">
      <alignment wrapText="1"/>
    </xf>
    <xf numFmtId="9" fontId="3" fillId="0" borderId="13" xfId="0" applyNumberFormat="1" applyFont="1" applyBorder="1" applyAlignment="1">
      <alignment wrapText="1"/>
    </xf>
    <xf numFmtId="0" fontId="3" fillId="0" borderId="35" xfId="0" applyFont="1" applyBorder="1" applyAlignment="1">
      <alignment wrapText="1"/>
    </xf>
    <xf numFmtId="0" fontId="12" fillId="0" borderId="4" xfId="0" applyFont="1" applyFill="1" applyBorder="1"/>
    <xf numFmtId="0" fontId="12" fillId="0" borderId="5" xfId="0" applyFont="1" applyFill="1" applyBorder="1"/>
    <xf numFmtId="0" fontId="3" fillId="0" borderId="5" xfId="0" applyFont="1" applyBorder="1"/>
    <xf numFmtId="0" fontId="12" fillId="0" borderId="36" xfId="0" applyFont="1" applyBorder="1"/>
    <xf numFmtId="0" fontId="12" fillId="0" borderId="37" xfId="0" applyFont="1" applyFill="1" applyBorder="1"/>
    <xf numFmtId="0" fontId="2" fillId="2" borderId="1" xfId="2" applyBorder="1"/>
    <xf numFmtId="0" fontId="12" fillId="0" borderId="2" xfId="0" applyFont="1" applyFill="1" applyBorder="1"/>
    <xf numFmtId="2" fontId="2" fillId="2" borderId="38" xfId="2" applyNumberFormat="1" applyBorder="1"/>
    <xf numFmtId="0" fontId="0" fillId="0" borderId="38" xfId="0" applyBorder="1"/>
    <xf numFmtId="0" fontId="12" fillId="0" borderId="7" xfId="0" applyFont="1" applyFill="1" applyBorder="1"/>
    <xf numFmtId="0" fontId="12" fillId="0" borderId="8" xfId="0" applyFont="1" applyFill="1" applyBorder="1"/>
    <xf numFmtId="0" fontId="3" fillId="0" borderId="8" xfId="0" applyFont="1" applyBorder="1"/>
    <xf numFmtId="0" fontId="0" fillId="0" borderId="9" xfId="0" applyBorder="1"/>
    <xf numFmtId="0" fontId="12" fillId="0" borderId="0" xfId="0" applyFont="1" applyFill="1" applyBorder="1"/>
    <xf numFmtId="0" fontId="3" fillId="0" borderId="0" xfId="0" applyFont="1" applyBorder="1"/>
    <xf numFmtId="2" fontId="12" fillId="0" borderId="0" xfId="1" applyNumberFormat="1" applyFont="1" applyFill="1" applyBorder="1"/>
    <xf numFmtId="0" fontId="0" fillId="0" borderId="0" xfId="0" applyBorder="1"/>
    <xf numFmtId="0" fontId="4" fillId="0" borderId="37" xfId="0" applyFont="1" applyFill="1" applyBorder="1"/>
    <xf numFmtId="0" fontId="4" fillId="0" borderId="2" xfId="0" applyFont="1" applyFill="1" applyBorder="1"/>
    <xf numFmtId="0" fontId="4" fillId="0" borderId="38" xfId="0" applyFont="1" applyFill="1" applyBorder="1"/>
    <xf numFmtId="2" fontId="4" fillId="0" borderId="2" xfId="0" applyNumberFormat="1" applyFont="1" applyFill="1" applyBorder="1"/>
    <xf numFmtId="2" fontId="4" fillId="0" borderId="38" xfId="0" applyNumberFormat="1" applyFont="1" applyFill="1" applyBorder="1"/>
    <xf numFmtId="0" fontId="0" fillId="0" borderId="37" xfId="0" applyFont="1" applyBorder="1"/>
    <xf numFmtId="0" fontId="4" fillId="0" borderId="37" xfId="2" applyFont="1" applyFill="1" applyBorder="1"/>
    <xf numFmtId="0" fontId="0" fillId="0" borderId="7" xfId="0" applyFont="1" applyBorder="1"/>
    <xf numFmtId="2" fontId="4" fillId="0" borderId="8" xfId="0" applyNumberFormat="1" applyFont="1" applyFill="1" applyBorder="1"/>
    <xf numFmtId="2" fontId="4" fillId="0" borderId="9" xfId="0" applyNumberFormat="1" applyFont="1" applyFill="1" applyBorder="1"/>
    <xf numFmtId="0" fontId="8" fillId="3" borderId="1" xfId="3" applyFont="1"/>
    <xf numFmtId="43" fontId="10" fillId="2" borderId="2" xfId="4" applyFont="1" applyFill="1" applyBorder="1"/>
    <xf numFmtId="170" fontId="10" fillId="2" borderId="2" xfId="4" applyNumberFormat="1" applyFont="1" applyFill="1" applyBorder="1"/>
    <xf numFmtId="170" fontId="0" fillId="0" borderId="2" xfId="4" applyNumberFormat="1" applyFont="1" applyBorder="1"/>
    <xf numFmtId="170" fontId="0" fillId="0" borderId="2" xfId="4" quotePrefix="1" applyNumberFormat="1" applyFont="1" applyBorder="1"/>
    <xf numFmtId="170" fontId="0" fillId="0" borderId="2" xfId="4" applyNumberFormat="1" applyFont="1" applyFill="1" applyBorder="1"/>
    <xf numFmtId="170" fontId="0" fillId="0" borderId="27" xfId="4" applyNumberFormat="1" applyFont="1" applyBorder="1"/>
    <xf numFmtId="170" fontId="0" fillId="0" borderId="2" xfId="4" applyNumberFormat="1" applyFont="1" applyBorder="1" applyAlignment="1">
      <alignment wrapText="1"/>
    </xf>
    <xf numFmtId="170" fontId="0" fillId="0" borderId="27" xfId="4" applyNumberFormat="1" applyFont="1" applyBorder="1" applyAlignment="1">
      <alignment wrapText="1"/>
    </xf>
    <xf numFmtId="170" fontId="0" fillId="0" borderId="3" xfId="4" applyNumberFormat="1" applyFont="1" applyBorder="1"/>
    <xf numFmtId="170" fontId="0" fillId="0" borderId="3" xfId="4" quotePrefix="1" applyNumberFormat="1" applyFont="1" applyBorder="1"/>
    <xf numFmtId="170" fontId="0" fillId="0" borderId="3" xfId="4" applyNumberFormat="1" applyFont="1" applyFill="1" applyBorder="1"/>
    <xf numFmtId="170" fontId="0" fillId="0" borderId="18" xfId="4" applyNumberFormat="1" applyFont="1" applyBorder="1"/>
    <xf numFmtId="170" fontId="0" fillId="0" borderId="0" xfId="0" applyNumberFormat="1"/>
    <xf numFmtId="170" fontId="0" fillId="0" borderId="25" xfId="4" applyNumberFormat="1" applyFont="1" applyBorder="1"/>
    <xf numFmtId="0" fontId="10" fillId="2" borderId="1" xfId="2" applyFont="1" applyAlignment="1"/>
    <xf numFmtId="0" fontId="3" fillId="0" borderId="33" xfId="0" applyFont="1" applyBorder="1" applyAlignment="1">
      <alignment wrapText="1"/>
    </xf>
    <xf numFmtId="0" fontId="3" fillId="0" borderId="44" xfId="0" applyFont="1" applyBorder="1" applyAlignment="1"/>
    <xf numFmtId="0" fontId="3" fillId="0" borderId="45" xfId="0" applyFont="1" applyBorder="1" applyAlignment="1"/>
    <xf numFmtId="167" fontId="2" fillId="2" borderId="45" xfId="2" applyNumberFormat="1" applyBorder="1"/>
    <xf numFmtId="0" fontId="3" fillId="0" borderId="46" xfId="0" applyFont="1" applyBorder="1" applyAlignment="1"/>
    <xf numFmtId="0" fontId="3" fillId="0" borderId="43" xfId="0" applyFont="1" applyBorder="1"/>
    <xf numFmtId="0" fontId="3" fillId="0" borderId="23" xfId="0" applyFont="1" applyBorder="1" applyAlignment="1">
      <alignment wrapText="1"/>
    </xf>
    <xf numFmtId="168" fontId="3" fillId="0" borderId="33" xfId="0" applyNumberFormat="1" applyFont="1" applyBorder="1" applyAlignment="1">
      <alignment horizontal="left" wrapText="1"/>
    </xf>
    <xf numFmtId="9" fontId="3" fillId="0" borderId="33" xfId="0" applyNumberFormat="1" applyFont="1" applyBorder="1" applyAlignment="1">
      <alignment wrapText="1"/>
    </xf>
    <xf numFmtId="0" fontId="3" fillId="0" borderId="47" xfId="0" applyFont="1" applyBorder="1" applyAlignment="1">
      <alignment wrapText="1"/>
    </xf>
    <xf numFmtId="0" fontId="3" fillId="0" borderId="45" xfId="0" applyFont="1" applyBorder="1" applyAlignment="1">
      <alignment wrapText="1"/>
    </xf>
    <xf numFmtId="0" fontId="3" fillId="0" borderId="46" xfId="0" applyFont="1" applyBorder="1" applyAlignment="1">
      <alignment wrapText="1"/>
    </xf>
    <xf numFmtId="2" fontId="0" fillId="6" borderId="0" xfId="0" applyNumberFormat="1" applyFill="1"/>
    <xf numFmtId="2" fontId="0" fillId="0" borderId="0" xfId="0" applyNumberFormat="1" applyFill="1"/>
    <xf numFmtId="2" fontId="0" fillId="0" borderId="0" xfId="0" applyNumberFormat="1"/>
    <xf numFmtId="0" fontId="0" fillId="0" borderId="36" xfId="0" applyBorder="1"/>
    <xf numFmtId="0" fontId="0" fillId="0" borderId="49" xfId="0" applyBorder="1" applyAlignment="1">
      <alignment wrapText="1"/>
    </xf>
    <xf numFmtId="0" fontId="0" fillId="0" borderId="50" xfId="0" applyBorder="1"/>
    <xf numFmtId="0" fontId="0" fillId="0" borderId="51" xfId="0" applyBorder="1" applyAlignment="1">
      <alignment wrapText="1"/>
    </xf>
    <xf numFmtId="0" fontId="0" fillId="0" borderId="52" xfId="0" applyBorder="1"/>
    <xf numFmtId="0" fontId="0" fillId="7" borderId="0" xfId="0" applyFill="1"/>
    <xf numFmtId="0" fontId="0" fillId="0" borderId="48" xfId="0" applyBorder="1" applyAlignment="1">
      <alignment wrapText="1"/>
    </xf>
    <xf numFmtId="0" fontId="0" fillId="0" borderId="44" xfId="0" applyBorder="1" applyAlignment="1"/>
    <xf numFmtId="0" fontId="0" fillId="0" borderId="46" xfId="0" applyBorder="1"/>
    <xf numFmtId="0" fontId="0" fillId="0" borderId="49" xfId="0" applyFill="1" applyBorder="1" applyAlignment="1">
      <alignment wrapText="1"/>
    </xf>
    <xf numFmtId="0" fontId="0" fillId="0" borderId="50" xfId="0" applyFill="1" applyBorder="1"/>
    <xf numFmtId="0" fontId="0" fillId="0" borderId="52" xfId="0" applyFill="1" applyBorder="1"/>
    <xf numFmtId="0" fontId="0" fillId="6" borderId="0" xfId="0" applyFill="1"/>
    <xf numFmtId="0" fontId="0" fillId="8" borderId="0" xfId="0" applyFill="1"/>
    <xf numFmtId="0" fontId="0" fillId="5" borderId="0" xfId="0" applyFill="1"/>
    <xf numFmtId="2" fontId="0" fillId="8" borderId="0" xfId="0" applyNumberFormat="1" applyFill="1"/>
    <xf numFmtId="0" fontId="9" fillId="0" borderId="48" xfId="0" applyFont="1" applyBorder="1"/>
    <xf numFmtId="0" fontId="0" fillId="0" borderId="20" xfId="0" applyFill="1" applyBorder="1" applyAlignment="1">
      <alignment wrapText="1"/>
    </xf>
    <xf numFmtId="0" fontId="0" fillId="0" borderId="23" xfId="0" applyFill="1" applyBorder="1" applyAlignment="1">
      <alignment wrapText="1"/>
    </xf>
    <xf numFmtId="0" fontId="0" fillId="0" borderId="20" xfId="0" applyBorder="1" applyAlignment="1">
      <alignment horizontal="left"/>
    </xf>
    <xf numFmtId="0" fontId="0" fillId="0" borderId="23" xfId="0" applyBorder="1" applyAlignment="1">
      <alignment horizontal="left"/>
    </xf>
    <xf numFmtId="0" fontId="0" fillId="0" borderId="20" xfId="0" applyBorder="1"/>
    <xf numFmtId="0" fontId="0" fillId="0" borderId="23" xfId="0" applyBorder="1"/>
    <xf numFmtId="0" fontId="0" fillId="0" borderId="20" xfId="0" applyBorder="1" applyAlignment="1">
      <alignment wrapText="1"/>
    </xf>
    <xf numFmtId="0" fontId="0" fillId="0" borderId="23" xfId="0" applyBorder="1" applyAlignment="1">
      <alignment wrapText="1"/>
    </xf>
    <xf numFmtId="0" fontId="3" fillId="0" borderId="14" xfId="0" applyFont="1"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0" fillId="0" borderId="12" xfId="0" applyBorder="1"/>
    <xf numFmtId="0" fontId="12" fillId="0" borderId="5" xfId="0" applyFont="1" applyFill="1" applyBorder="1"/>
    <xf numFmtId="2" fontId="2" fillId="2" borderId="1" xfId="2" applyNumberFormat="1" applyBorder="1"/>
    <xf numFmtId="2" fontId="2" fillId="2" borderId="39" xfId="2" applyNumberFormat="1" applyBorder="1"/>
    <xf numFmtId="0" fontId="12" fillId="4" borderId="4" xfId="0" applyFont="1" applyFill="1" applyBorder="1"/>
    <xf numFmtId="0" fontId="12" fillId="4" borderId="5" xfId="0" applyFont="1" applyFill="1" applyBorder="1"/>
    <xf numFmtId="0" fontId="12" fillId="4" borderId="6" xfId="0" applyFont="1" applyFill="1" applyBorder="1"/>
    <xf numFmtId="0" fontId="12" fillId="0" borderId="40" xfId="0" applyFont="1" applyFill="1" applyBorder="1" applyAlignment="1">
      <alignment wrapText="1"/>
    </xf>
    <xf numFmtId="0" fontId="12" fillId="0" borderId="41" xfId="0" applyFont="1" applyFill="1" applyBorder="1" applyAlignment="1">
      <alignment wrapText="1"/>
    </xf>
    <xf numFmtId="0" fontId="12" fillId="0" borderId="42" xfId="0" applyFont="1" applyFill="1" applyBorder="1" applyAlignment="1">
      <alignment wrapText="1"/>
    </xf>
    <xf numFmtId="0" fontId="12" fillId="0" borderId="37" xfId="0" applyFont="1" applyFill="1" applyBorder="1" applyAlignment="1">
      <alignment wrapText="1"/>
    </xf>
    <xf numFmtId="0" fontId="12" fillId="0" borderId="2" xfId="0" applyFont="1" applyFill="1" applyBorder="1" applyAlignment="1">
      <alignment wrapText="1"/>
    </xf>
    <xf numFmtId="0" fontId="12" fillId="0" borderId="38" xfId="0" applyFont="1" applyFill="1" applyBorder="1" applyAlignment="1">
      <alignment wrapText="1"/>
    </xf>
    <xf numFmtId="0" fontId="3" fillId="0" borderId="37" xfId="0" applyFont="1" applyBorder="1" applyAlignment="1">
      <alignment wrapText="1"/>
    </xf>
    <xf numFmtId="0" fontId="3" fillId="0" borderId="2" xfId="0" applyFont="1" applyBorder="1" applyAlignment="1">
      <alignment wrapText="1"/>
    </xf>
    <xf numFmtId="0" fontId="3" fillId="0" borderId="38" xfId="0" applyFont="1" applyBorder="1" applyAlignment="1">
      <alignment wrapText="1"/>
    </xf>
  </cellXfs>
  <cellStyles count="5">
    <cellStyle name="Calculation" xfId="3" builtinId="22"/>
    <cellStyle name="Comma" xfId="4" builtinId="3"/>
    <cellStyle name="Input" xfId="2" builtinId="20"/>
    <cellStyle name="Normal" xfId="0" builtinId="0"/>
    <cellStyle name="Percent" xfId="1" builtinId="5"/>
  </cellStyles>
  <dxfs count="83">
    <dxf>
      <numFmt numFmtId="2" formatCode="0.00"/>
      <alignment horizontal="general" vertical="bottom" textRotation="0" wrapText="1" indent="0" justifyLastLine="0" shrinkToFit="0" readingOrder="0"/>
    </dxf>
    <dxf>
      <numFmt numFmtId="2" formatCode="0.00"/>
      <fill>
        <patternFill patternType="none">
          <fgColor indexed="64"/>
          <bgColor indexed="65"/>
        </patternFill>
      </fill>
      <alignment horizontal="general" vertical="bottom" textRotation="0" wrapText="1" indent="0" justifyLastLine="0" shrinkToFit="0" readingOrder="0"/>
    </dxf>
    <dxf>
      <numFmt numFmtId="2" formatCode="0.00"/>
      <fill>
        <patternFill patternType="solid">
          <fgColor indexed="64"/>
          <bgColor rgb="FF92D050"/>
        </patternFill>
      </fill>
    </dxf>
    <dxf>
      <numFmt numFmtId="2" formatCode="0.00"/>
      <fill>
        <patternFill patternType="solid">
          <fgColor indexed="64"/>
          <bgColor rgb="FFFFC000"/>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2" formatCode="0.00"/>
      <alignment horizontal="general" vertical="bottom" textRotation="0" wrapText="1" indent="0" justifyLastLine="0" shrinkToFit="0" readingOrder="0"/>
    </dxf>
    <dxf>
      <numFmt numFmtId="2" formatCode="0.00"/>
      <alignment horizontal="general" vertical="bottom" textRotation="0" wrapText="1" indent="0" justifyLastLine="0" shrinkToFit="0" readingOrder="0"/>
    </dxf>
    <dxf>
      <numFmt numFmtId="2" formatCode="0.00"/>
      <fill>
        <patternFill patternType="solid">
          <fgColor indexed="64"/>
          <bgColor rgb="FF92D050"/>
        </patternFill>
      </fill>
    </dxf>
    <dxf>
      <numFmt numFmtId="2" formatCode="0.00"/>
      <fill>
        <patternFill patternType="solid">
          <fgColor indexed="64"/>
          <bgColor rgb="FFFFC000"/>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u/>
      </font>
    </dxf>
    <dxf>
      <font>
        <b/>
        <i val="0"/>
        <u/>
        <color auto="1"/>
      </font>
    </dxf>
    <dxf>
      <font>
        <b/>
        <i val="0"/>
        <u/>
      </font>
    </dxf>
    <dxf>
      <font>
        <b/>
        <i val="0"/>
        <u/>
      </font>
    </dxf>
    <dxf>
      <font>
        <b/>
        <i val="0"/>
        <u/>
      </font>
    </dxf>
    <dxf>
      <font>
        <b/>
        <i val="0"/>
        <u/>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left style="thin">
          <color indexed="64"/>
        </left>
        <right style="thin">
          <color indexed="64"/>
        </right>
        <top style="thin">
          <color indexed="64"/>
        </top>
        <bottom style="thin">
          <color indexed="64"/>
        </bottom>
        <vertical/>
        <horizontal/>
      </border>
    </dxf>
    <dxf>
      <numFmt numFmtId="170" formatCode="_-* #,##0\ _€_-;\-* #,##0\ _€_-;_-* &quot;-&quot;??\ _€_-;_-@_-"/>
      <border diagonalUp="0" diagonalDown="0">
        <left style="thin">
          <color indexed="64"/>
        </left>
        <right style="thin">
          <color indexed="64"/>
        </right>
        <top style="thin">
          <color indexed="64"/>
        </top>
        <bottom style="thin">
          <color indexed="64"/>
        </bottom>
        <vertical/>
        <horizontal/>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 formatCode="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170" formatCode="_-* #,##0\ _€_-;\-* #,##0\ _€_-;_-* &quot;-&quot;??\ _€_-;_-@_-"/>
    </dxf>
    <dxf>
      <alignment wrapText="1"/>
    </dxf>
    <dxf>
      <alignment horizontal="left"/>
    </dxf>
    <dxf>
      <alignment horizontal="right"/>
    </dxf>
    <dxf>
      <numFmt numFmtId="1" formatCode="0"/>
    </dxf>
    <dxf>
      <alignment wrapText="1"/>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70" formatCode="_-* #,##0\ _€_-;\-* #,##0\ _€_-;_-* &quot;-&quot;??\ _€_-;_-@_-"/>
      <border diagonalUp="0" diagonalDown="0" outline="0">
        <left style="thin">
          <color indexed="64"/>
        </left>
        <right style="thin">
          <color indexed="64"/>
        </right>
        <top style="thin">
          <color indexed="64"/>
        </top>
        <bottom style="thin">
          <color indexed="64"/>
        </bottom>
      </border>
    </dxf>
    <dxf>
      <numFmt numFmtId="1" formatCode="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7E39"/>
      <color rgb="FF3F3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u="sng"/>
              <a:t>Volume</a:t>
            </a:r>
            <a:r>
              <a:rPr lang="nl-BE" baseline="0"/>
              <a:t> tankenpark met even grote tanks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17836399763284186"/>
          <c:y val="3.7812873085497682E-2"/>
          <c:w val="0.78895399120467546"/>
          <c:h val="0.6245230542341863"/>
        </c:manualLayout>
      </c:layout>
      <c:lineChart>
        <c:grouping val="standard"/>
        <c:varyColors val="0"/>
        <c:ser>
          <c:idx val="1"/>
          <c:order val="0"/>
          <c:tx>
            <c:strRef>
              <c:f>'Grafiek volume'!$B$41</c:f>
              <c:strCache>
                <c:ptCount val="1"/>
                <c:pt idx="0">
                  <c:v>VLAREM: 100% alle tanks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'Grafiek volume'!$B$42:$B$53</c:f>
              <c:numCache>
                <c:formatCode>_-* #,##0\ _€_-;\-* #,##0\ _€_-;_-* "-"??\ _€_-;_-@_-</c:formatCode>
                <c:ptCount val="12"/>
                <c:pt idx="0">
                  <c:v>200</c:v>
                </c:pt>
                <c:pt idx="1">
                  <c:v>460</c:v>
                </c:pt>
                <c:pt idx="2">
                  <c:v>720</c:v>
                </c:pt>
                <c:pt idx="3">
                  <c:v>980</c:v>
                </c:pt>
                <c:pt idx="4">
                  <c:v>1240</c:v>
                </c:pt>
                <c:pt idx="5">
                  <c:v>1500</c:v>
                </c:pt>
                <c:pt idx="6">
                  <c:v>1760</c:v>
                </c:pt>
                <c:pt idx="7">
                  <c:v>2020</c:v>
                </c:pt>
                <c:pt idx="8">
                  <c:v>2280</c:v>
                </c:pt>
                <c:pt idx="9">
                  <c:v>2540</c:v>
                </c:pt>
                <c:pt idx="10">
                  <c:v>2800</c:v>
                </c:pt>
                <c:pt idx="11">
                  <c:v>3060</c:v>
                </c:pt>
              </c:numCache>
            </c:numRef>
          </c:val>
          <c:smooth val="0"/>
          <c:extLst>
            <c:ext xmlns:c16="http://schemas.microsoft.com/office/drawing/2014/chart" uri="{C3380CC4-5D6E-409C-BE32-E72D297353CC}">
              <c16:uniqueId val="{00000000-879F-4800-AE1F-9771CCAE9412}"/>
            </c:ext>
          </c:extLst>
        </c:ser>
        <c:ser>
          <c:idx val="2"/>
          <c:order val="1"/>
          <c:tx>
            <c:strRef>
              <c:f>'Grafiek volume'!$C$41</c:f>
              <c:strCache>
                <c:ptCount val="1"/>
                <c:pt idx="0">
                  <c:v>VLAREM: 50% alle tanks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'Grafiek volume'!$C$42:$C$53</c:f>
              <c:numCache>
                <c:formatCode>_-* #,##0\ _€_-;\-* #,##0\ _€_-;_-* "-"??\ _€_-;_-@_-</c:formatCode>
                <c:ptCount val="12"/>
                <c:pt idx="0">
                  <c:v>100</c:v>
                </c:pt>
                <c:pt idx="1">
                  <c:v>260</c:v>
                </c:pt>
                <c:pt idx="2">
                  <c:v>420</c:v>
                </c:pt>
                <c:pt idx="3">
                  <c:v>580</c:v>
                </c:pt>
                <c:pt idx="4">
                  <c:v>740</c:v>
                </c:pt>
                <c:pt idx="5">
                  <c:v>900</c:v>
                </c:pt>
                <c:pt idx="6">
                  <c:v>1060</c:v>
                </c:pt>
                <c:pt idx="7">
                  <c:v>1220</c:v>
                </c:pt>
                <c:pt idx="8">
                  <c:v>1380</c:v>
                </c:pt>
                <c:pt idx="9">
                  <c:v>1540</c:v>
                </c:pt>
                <c:pt idx="10">
                  <c:v>1700</c:v>
                </c:pt>
                <c:pt idx="11">
                  <c:v>1860</c:v>
                </c:pt>
              </c:numCache>
            </c:numRef>
          </c:val>
          <c:smooth val="0"/>
          <c:extLst>
            <c:ext xmlns:c16="http://schemas.microsoft.com/office/drawing/2014/chart" uri="{C3380CC4-5D6E-409C-BE32-E72D297353CC}">
              <c16:uniqueId val="{00000001-879F-4800-AE1F-9771CCAE9412}"/>
            </c:ext>
          </c:extLst>
        </c:ser>
        <c:ser>
          <c:idx val="3"/>
          <c:order val="2"/>
          <c:tx>
            <c:strRef>
              <c:f>'Grafiek volume'!$D$41</c:f>
              <c:strCache>
                <c:ptCount val="1"/>
                <c:pt idx="0">
                  <c:v>VLAREM: 100% grootste tank + 25% overige tanks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'Grafiek volume'!$D$42:$D$53</c:f>
              <c:numCache>
                <c:formatCode>_-* #,##0\ _€_-;\-* #,##0\ _€_-;_-* "-"??\ _€_-;_-@_-</c:formatCode>
                <c:ptCount val="12"/>
                <c:pt idx="0">
                  <c:v>200</c:v>
                </c:pt>
                <c:pt idx="1">
                  <c:v>310</c:v>
                </c:pt>
                <c:pt idx="2">
                  <c:v>420</c:v>
                </c:pt>
                <c:pt idx="3">
                  <c:v>530</c:v>
                </c:pt>
                <c:pt idx="4">
                  <c:v>640</c:v>
                </c:pt>
                <c:pt idx="5">
                  <c:v>750</c:v>
                </c:pt>
                <c:pt idx="6">
                  <c:v>860</c:v>
                </c:pt>
                <c:pt idx="7">
                  <c:v>970</c:v>
                </c:pt>
                <c:pt idx="8">
                  <c:v>1080</c:v>
                </c:pt>
                <c:pt idx="9">
                  <c:v>1190</c:v>
                </c:pt>
                <c:pt idx="10">
                  <c:v>1300</c:v>
                </c:pt>
                <c:pt idx="11">
                  <c:v>1410</c:v>
                </c:pt>
              </c:numCache>
            </c:numRef>
          </c:val>
          <c:smooth val="0"/>
          <c:extLst>
            <c:ext xmlns:c16="http://schemas.microsoft.com/office/drawing/2014/chart" uri="{C3380CC4-5D6E-409C-BE32-E72D297353CC}">
              <c16:uniqueId val="{00000002-879F-4800-AE1F-9771CCAE9412}"/>
            </c:ext>
          </c:extLst>
        </c:ser>
        <c:ser>
          <c:idx val="6"/>
          <c:order val="3"/>
          <c:tx>
            <c:strRef>
              <c:f>'Grafiek volume'!$E$41</c:f>
              <c:strCache>
                <c:ptCount val="1"/>
                <c:pt idx="0">
                  <c:v>VLAREM: 100% grootste tank (= falen grootste tank)</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'Grafiek volume'!$E$42:$E$53</c:f>
              <c:numCache>
                <c:formatCode>_-* #,##0\ _€_-;\-* #,##0\ _€_-;_-* "-"??\ _€_-;_-@_-</c:formatCode>
                <c:ptCount val="12"/>
                <c:pt idx="0">
                  <c:v>200</c:v>
                </c:pt>
                <c:pt idx="1">
                  <c:v>260</c:v>
                </c:pt>
                <c:pt idx="2">
                  <c:v>320</c:v>
                </c:pt>
                <c:pt idx="3">
                  <c:v>380</c:v>
                </c:pt>
                <c:pt idx="4">
                  <c:v>440</c:v>
                </c:pt>
                <c:pt idx="5">
                  <c:v>500</c:v>
                </c:pt>
                <c:pt idx="6">
                  <c:v>560</c:v>
                </c:pt>
                <c:pt idx="7">
                  <c:v>620</c:v>
                </c:pt>
                <c:pt idx="8">
                  <c:v>680</c:v>
                </c:pt>
                <c:pt idx="9">
                  <c:v>740</c:v>
                </c:pt>
                <c:pt idx="10">
                  <c:v>800</c:v>
                </c:pt>
                <c:pt idx="11">
                  <c:v>860</c:v>
                </c:pt>
              </c:numCache>
            </c:numRef>
          </c:val>
          <c:smooth val="0"/>
          <c:extLst>
            <c:ext xmlns:c16="http://schemas.microsoft.com/office/drawing/2014/chart" uri="{C3380CC4-5D6E-409C-BE32-E72D297353CC}">
              <c16:uniqueId val="{00000003-879F-4800-AE1F-9771CCAE9412}"/>
            </c:ext>
          </c:extLst>
        </c:ser>
        <c:ser>
          <c:idx val="4"/>
          <c:order val="4"/>
          <c:tx>
            <c:strRef>
              <c:f>'Grafiek volume'!$L$41</c:f>
              <c:strCache>
                <c:ptCount val="1"/>
                <c:pt idx="0">
                  <c:v>110% grootste tank</c:v>
                </c:pt>
              </c:strCache>
            </c:strRef>
          </c:tx>
          <c:spPr>
            <a:ln w="28575" cap="rnd">
              <a:solidFill>
                <a:schemeClr val="accent5">
                  <a:lumMod val="40000"/>
                  <a:lumOff val="60000"/>
                </a:schemeClr>
              </a:solidFill>
              <a:round/>
            </a:ln>
            <a:effectLst/>
          </c:spPr>
          <c:marker>
            <c:symbol val="circle"/>
            <c:size val="5"/>
            <c:spPr>
              <a:solidFill>
                <a:schemeClr val="accent5"/>
              </a:solidFill>
              <a:ln w="9525">
                <a:solidFill>
                  <a:schemeClr val="accent5"/>
                </a:solidFill>
              </a:ln>
              <a:effectLst/>
            </c:spPr>
          </c:marker>
          <c:val>
            <c:numRef>
              <c:f>'Grafiek volume'!$L$42:$L$53</c:f>
              <c:numCache>
                <c:formatCode>_-* #,##0\ _€_-;\-* #,##0\ _€_-;_-* "-"??\ _€_-;_-@_-</c:formatCode>
                <c:ptCount val="12"/>
                <c:pt idx="0">
                  <c:v>220.00000000000003</c:v>
                </c:pt>
                <c:pt idx="1">
                  <c:v>280</c:v>
                </c:pt>
                <c:pt idx="2">
                  <c:v>340</c:v>
                </c:pt>
                <c:pt idx="3">
                  <c:v>400</c:v>
                </c:pt>
                <c:pt idx="4">
                  <c:v>460</c:v>
                </c:pt>
                <c:pt idx="5">
                  <c:v>520</c:v>
                </c:pt>
                <c:pt idx="6">
                  <c:v>580</c:v>
                </c:pt>
                <c:pt idx="7">
                  <c:v>640</c:v>
                </c:pt>
                <c:pt idx="8">
                  <c:v>700</c:v>
                </c:pt>
                <c:pt idx="9">
                  <c:v>760</c:v>
                </c:pt>
                <c:pt idx="10">
                  <c:v>820</c:v>
                </c:pt>
                <c:pt idx="11">
                  <c:v>880</c:v>
                </c:pt>
              </c:numCache>
            </c:numRef>
          </c:val>
          <c:smooth val="0"/>
          <c:extLst>
            <c:ext xmlns:c16="http://schemas.microsoft.com/office/drawing/2014/chart" uri="{C3380CC4-5D6E-409C-BE32-E72D297353CC}">
              <c16:uniqueId val="{00000004-879F-4800-AE1F-9771CCAE9412}"/>
            </c:ext>
          </c:extLst>
        </c:ser>
        <c:ser>
          <c:idx val="5"/>
          <c:order val="5"/>
          <c:tx>
            <c:strRef>
              <c:f>'Grafiek volume'!$M$41</c:f>
              <c:strCache>
                <c:ptCount val="1"/>
                <c:pt idx="0">
                  <c:v>100% grootste tank + 0,25 m hoogte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'Grafiek volume'!$M$42:$M$53</c:f>
              <c:numCache>
                <c:formatCode>_-* #,##0\ _€_-;\-* #,##0\ _€_-;_-* "-"??\ _€_-;_-@_-</c:formatCode>
                <c:ptCount val="12"/>
                <c:pt idx="0">
                  <c:v>240</c:v>
                </c:pt>
                <c:pt idx="1">
                  <c:v>312</c:v>
                </c:pt>
                <c:pt idx="2">
                  <c:v>384</c:v>
                </c:pt>
                <c:pt idx="3">
                  <c:v>456</c:v>
                </c:pt>
                <c:pt idx="4">
                  <c:v>528</c:v>
                </c:pt>
                <c:pt idx="5">
                  <c:v>600</c:v>
                </c:pt>
                <c:pt idx="6">
                  <c:v>672</c:v>
                </c:pt>
                <c:pt idx="7">
                  <c:v>744</c:v>
                </c:pt>
                <c:pt idx="8">
                  <c:v>816</c:v>
                </c:pt>
                <c:pt idx="9">
                  <c:v>888</c:v>
                </c:pt>
                <c:pt idx="10">
                  <c:v>960</c:v>
                </c:pt>
                <c:pt idx="11">
                  <c:v>1032</c:v>
                </c:pt>
              </c:numCache>
            </c:numRef>
          </c:val>
          <c:smooth val="0"/>
          <c:extLst>
            <c:ext xmlns:c16="http://schemas.microsoft.com/office/drawing/2014/chart" uri="{C3380CC4-5D6E-409C-BE32-E72D297353CC}">
              <c16:uniqueId val="{00000005-879F-4800-AE1F-9771CCAE9412}"/>
            </c:ext>
          </c:extLst>
        </c:ser>
        <c:ser>
          <c:idx val="8"/>
          <c:order val="6"/>
          <c:tx>
            <c:strRef>
              <c:f>'Grafiek volume'!$F$41</c:f>
              <c:strCache>
                <c:ptCount val="1"/>
                <c:pt idx="0">
                  <c:v>Falen alle tanks - 100% gevuld (bruto)</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'Grafiek volume'!$F$42:$F$53</c:f>
              <c:numCache>
                <c:formatCode>_-* #,##0\ _€_-;\-* #,##0\ _€_-;_-* "-"??\ _€_-;_-@_-</c:formatCode>
                <c:ptCount val="12"/>
                <c:pt idx="0">
                  <c:v>200</c:v>
                </c:pt>
                <c:pt idx="1">
                  <c:v>400</c:v>
                </c:pt>
                <c:pt idx="2">
                  <c:v>600</c:v>
                </c:pt>
                <c:pt idx="3">
                  <c:v>800</c:v>
                </c:pt>
                <c:pt idx="4">
                  <c:v>1000</c:v>
                </c:pt>
                <c:pt idx="5">
                  <c:v>1200</c:v>
                </c:pt>
                <c:pt idx="6">
                  <c:v>1400</c:v>
                </c:pt>
                <c:pt idx="7">
                  <c:v>1600</c:v>
                </c:pt>
                <c:pt idx="8">
                  <c:v>1800</c:v>
                </c:pt>
                <c:pt idx="9">
                  <c:v>2000</c:v>
                </c:pt>
                <c:pt idx="10">
                  <c:v>2200</c:v>
                </c:pt>
                <c:pt idx="11">
                  <c:v>2400</c:v>
                </c:pt>
              </c:numCache>
            </c:numRef>
          </c:val>
          <c:smooth val="0"/>
          <c:extLst>
            <c:ext xmlns:c16="http://schemas.microsoft.com/office/drawing/2014/chart" uri="{C3380CC4-5D6E-409C-BE32-E72D297353CC}">
              <c16:uniqueId val="{00000006-879F-4800-AE1F-9771CCAE9412}"/>
            </c:ext>
          </c:extLst>
        </c:ser>
        <c:ser>
          <c:idx val="7"/>
          <c:order val="7"/>
          <c:tx>
            <c:strRef>
              <c:f>'Grafiek volume'!$G$41</c:f>
              <c:strCache>
                <c:ptCount val="1"/>
                <c:pt idx="0">
                  <c:v>Falen alle tanks - 50% gevuld (bruto)</c:v>
                </c:pt>
              </c:strCache>
            </c:strRef>
          </c:tx>
          <c:spPr>
            <a:ln w="28575" cap="rnd">
              <a:solidFill>
                <a:srgbClr val="FF0000"/>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'Grafiek volume'!$G$42:$G$53</c:f>
              <c:numCache>
                <c:formatCode>_-* #,##0\ _€_-;\-* #,##0\ _€_-;_-* "-"??\ _€_-;_-@_-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smooth val="0"/>
          <c:extLst>
            <c:ext xmlns:c16="http://schemas.microsoft.com/office/drawing/2014/chart" uri="{C3380CC4-5D6E-409C-BE32-E72D297353CC}">
              <c16:uniqueId val="{00000007-879F-4800-AE1F-9771CCAE9412}"/>
            </c:ext>
          </c:extLst>
        </c:ser>
        <c:ser>
          <c:idx val="0"/>
          <c:order val="8"/>
          <c:tx>
            <c:strRef>
              <c:f>'Grafiek volume'!$H$41</c:f>
              <c:strCache>
                <c:ptCount val="1"/>
                <c:pt idx="0">
                  <c:v>Falen grootste tank + 25% overige tanks (bruto)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'Grafiek volume'!$H$42:$H$53</c:f>
              <c:numCache>
                <c:formatCode>_-* #,##0\ _€_-;\-* #,##0\ _€_-;_-* "-"??\ _€_-;_-@_-</c:formatCode>
                <c:ptCount val="12"/>
                <c:pt idx="0">
                  <c:v>200</c:v>
                </c:pt>
                <c:pt idx="1">
                  <c:v>250</c:v>
                </c:pt>
                <c:pt idx="2">
                  <c:v>300</c:v>
                </c:pt>
                <c:pt idx="3">
                  <c:v>350</c:v>
                </c:pt>
                <c:pt idx="4">
                  <c:v>400</c:v>
                </c:pt>
                <c:pt idx="5">
                  <c:v>450</c:v>
                </c:pt>
                <c:pt idx="6">
                  <c:v>500</c:v>
                </c:pt>
                <c:pt idx="7">
                  <c:v>550</c:v>
                </c:pt>
                <c:pt idx="8">
                  <c:v>600</c:v>
                </c:pt>
                <c:pt idx="9">
                  <c:v>650</c:v>
                </c:pt>
                <c:pt idx="10">
                  <c:v>700</c:v>
                </c:pt>
                <c:pt idx="11">
                  <c:v>750</c:v>
                </c:pt>
              </c:numCache>
            </c:numRef>
          </c:val>
          <c:smooth val="0"/>
          <c:extLst>
            <c:ext xmlns:c16="http://schemas.microsoft.com/office/drawing/2014/chart" uri="{C3380CC4-5D6E-409C-BE32-E72D297353CC}">
              <c16:uniqueId val="{00000008-879F-4800-AE1F-9771CCAE9412}"/>
            </c:ext>
          </c:extLst>
        </c:ser>
        <c:ser>
          <c:idx val="9"/>
          <c:order val="9"/>
          <c:tx>
            <c:strRef>
              <c:f>'Grafiek volume'!$I$41</c:f>
              <c:strCache>
                <c:ptCount val="1"/>
                <c:pt idx="0">
                  <c:v>Falen grootste tank +  4u koelen overige tanks (2l/min/m² tankopp.)</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'Grafiek volume'!$I$42:$I$53</c:f>
              <c:numCache>
                <c:formatCode>_-* #,##0\ _€_-;\-* #,##0\ _€_-;_-* "-"??\ _€_-;_-@_-</c:formatCode>
                <c:ptCount val="12"/>
                <c:pt idx="0">
                  <c:v>200</c:v>
                </c:pt>
                <c:pt idx="1">
                  <c:v>309.16158313548402</c:v>
                </c:pt>
                <c:pt idx="2">
                  <c:v>418.32316627096804</c:v>
                </c:pt>
                <c:pt idx="3">
                  <c:v>527.48474940645212</c:v>
                </c:pt>
                <c:pt idx="4">
                  <c:v>636.64633254193609</c:v>
                </c:pt>
                <c:pt idx="5">
                  <c:v>745.80791567742017</c:v>
                </c:pt>
                <c:pt idx="6">
                  <c:v>854.96949881290425</c:v>
                </c:pt>
                <c:pt idx="7">
                  <c:v>964.13108194838821</c:v>
                </c:pt>
                <c:pt idx="8">
                  <c:v>1073.2926650838722</c:v>
                </c:pt>
                <c:pt idx="9">
                  <c:v>1182.4542482193563</c:v>
                </c:pt>
                <c:pt idx="10">
                  <c:v>1291.6158313548403</c:v>
                </c:pt>
                <c:pt idx="11">
                  <c:v>1400.7774144903244</c:v>
                </c:pt>
              </c:numCache>
            </c:numRef>
          </c:val>
          <c:smooth val="0"/>
          <c:extLst>
            <c:ext xmlns:c16="http://schemas.microsoft.com/office/drawing/2014/chart" uri="{C3380CC4-5D6E-409C-BE32-E72D297353CC}">
              <c16:uniqueId val="{00000009-879F-4800-AE1F-9771CCAE9412}"/>
            </c:ext>
          </c:extLst>
        </c:ser>
        <c:ser>
          <c:idx val="10"/>
          <c:order val="10"/>
          <c:tx>
            <c:strRef>
              <c:f>'Grafiek volume'!$J$41</c:f>
              <c:strCache>
                <c:ptCount val="1"/>
                <c:pt idx="0">
                  <c:v>Falen grootste tank + 1u blussen plasbrand inkuiping (6,5l/min/m²)</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val>
            <c:numRef>
              <c:f>'Grafiek volume'!$J$42:$J$53</c:f>
              <c:numCache>
                <c:formatCode>_-* #,##0\ _€_-;\-* #,##0\ _€_-;_-* "-"??\ _€_-;_-@_-</c:formatCode>
                <c:ptCount val="12"/>
                <c:pt idx="0">
                  <c:v>270.27027027027026</c:v>
                </c:pt>
                <c:pt idx="1">
                  <c:v>351.35135135135135</c:v>
                </c:pt>
                <c:pt idx="2">
                  <c:v>432.43243243243245</c:v>
                </c:pt>
                <c:pt idx="3">
                  <c:v>513.51351351351354</c:v>
                </c:pt>
                <c:pt idx="4">
                  <c:v>594.59459459459458</c:v>
                </c:pt>
                <c:pt idx="5">
                  <c:v>675.67567567567573</c:v>
                </c:pt>
                <c:pt idx="6">
                  <c:v>756.75675675675677</c:v>
                </c:pt>
                <c:pt idx="7">
                  <c:v>837.83783783783781</c:v>
                </c:pt>
                <c:pt idx="8">
                  <c:v>918.91891891891896</c:v>
                </c:pt>
                <c:pt idx="9">
                  <c:v>1000</c:v>
                </c:pt>
                <c:pt idx="10">
                  <c:v>1081.081081081081</c:v>
                </c:pt>
                <c:pt idx="11">
                  <c:v>1162.1621621621621</c:v>
                </c:pt>
              </c:numCache>
            </c:numRef>
          </c:val>
          <c:smooth val="0"/>
          <c:extLst>
            <c:ext xmlns:c16="http://schemas.microsoft.com/office/drawing/2014/chart" uri="{C3380CC4-5D6E-409C-BE32-E72D297353CC}">
              <c16:uniqueId val="{00000002-DCD1-458A-AA30-CBF9AF3328A5}"/>
            </c:ext>
          </c:extLst>
        </c:ser>
        <c:ser>
          <c:idx val="11"/>
          <c:order val="11"/>
          <c:tx>
            <c:strRef>
              <c:f>'Grafiek volume'!$K$41</c:f>
              <c:strCache>
                <c:ptCount val="1"/>
                <c:pt idx="0">
                  <c:v>Falen grootste tank + 1u blussen inkuiping + 4u koelen overige tanks</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val>
            <c:numRef>
              <c:f>'Grafiek volume'!$K$42:$K$53</c:f>
              <c:numCache>
                <c:formatCode>_-* #,##0\ _€_-;\-* #,##0\ _€_-;_-* "-"??\ _€_-;_-@_-</c:formatCode>
                <c:ptCount val="12"/>
                <c:pt idx="0">
                  <c:v>270.27027027027026</c:v>
                </c:pt>
                <c:pt idx="1">
                  <c:v>400.51293448683532</c:v>
                </c:pt>
                <c:pt idx="2">
                  <c:v>530.75559870340044</c:v>
                </c:pt>
                <c:pt idx="3">
                  <c:v>660.99826291996578</c:v>
                </c:pt>
                <c:pt idx="4">
                  <c:v>791.24092713653067</c:v>
                </c:pt>
                <c:pt idx="5">
                  <c:v>921.48359135309602</c:v>
                </c:pt>
                <c:pt idx="6">
                  <c:v>1051.7262555696611</c:v>
                </c:pt>
                <c:pt idx="7">
                  <c:v>1181.968919786226</c:v>
                </c:pt>
                <c:pt idx="8">
                  <c:v>1312.2115840027911</c:v>
                </c:pt>
                <c:pt idx="9">
                  <c:v>1442.4542482193565</c:v>
                </c:pt>
                <c:pt idx="10">
                  <c:v>1572.6969124359211</c:v>
                </c:pt>
                <c:pt idx="11">
                  <c:v>1702.9395766524867</c:v>
                </c:pt>
              </c:numCache>
            </c:numRef>
          </c:val>
          <c:smooth val="0"/>
          <c:extLst>
            <c:ext xmlns:c16="http://schemas.microsoft.com/office/drawing/2014/chart" uri="{C3380CC4-5D6E-409C-BE32-E72D297353CC}">
              <c16:uniqueId val="{00000003-DCD1-458A-AA30-CBF9AF3328A5}"/>
            </c:ext>
          </c:extLst>
        </c:ser>
        <c:dLbls>
          <c:showLegendKey val="0"/>
          <c:showVal val="0"/>
          <c:showCatName val="0"/>
          <c:showSerName val="0"/>
          <c:showPercent val="0"/>
          <c:showBubbleSize val="0"/>
        </c:dLbls>
        <c:marker val="1"/>
        <c:smooth val="0"/>
        <c:axId val="488525232"/>
        <c:axId val="488519984"/>
      </c:lineChart>
      <c:catAx>
        <c:axId val="488525232"/>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Aantal tanks</a:t>
                </a:r>
              </a:p>
            </c:rich>
          </c:tx>
          <c:layout>
            <c:manualLayout>
              <c:xMode val="edge"/>
              <c:yMode val="edge"/>
              <c:x val="0.18448741649471942"/>
              <c:y val="0.6601788239529465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19984"/>
        <c:crosses val="autoZero"/>
        <c:auto val="1"/>
        <c:lblAlgn val="ctr"/>
        <c:lblOffset val="100"/>
        <c:noMultiLvlLbl val="0"/>
      </c:catAx>
      <c:valAx>
        <c:axId val="488519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Volume (m³)</a:t>
                </a:r>
              </a:p>
            </c:rich>
          </c:tx>
          <c:layout>
            <c:manualLayout>
              <c:xMode val="edge"/>
              <c:yMode val="edge"/>
              <c:x val="0.13871203679670943"/>
              <c:y val="0.3354220559743369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25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B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[Rekenvoorbeelden_dimensies.xlsx]Pivot volume!PivotTable6</c:name>
    <c:fmtId val="0"/>
  </c:pivotSource>
  <c:chart>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pivotFmt>
      <c:pivotFmt>
        <c:idx val="1"/>
        <c:spPr>
          <a:solidFill>
            <a:schemeClr val="accent1"/>
          </a:solidFill>
          <a:ln>
            <a:noFill/>
          </a:ln>
          <a:effectLst/>
        </c:spPr>
        <c:marker>
          <c:spPr>
            <a:solidFill>
              <a:schemeClr val="accent1"/>
            </a:solidFill>
            <a:ln w="9525">
              <a:solidFill>
                <a:schemeClr val="accent1"/>
              </a:solidFill>
            </a:ln>
            <a:effectLst/>
          </c:spPr>
        </c:marker>
      </c:pivotFmt>
      <c:pivotFmt>
        <c:idx val="2"/>
        <c:spPr>
          <a:solidFill>
            <a:schemeClr val="accent1"/>
          </a:solidFill>
          <a:ln>
            <a:noFill/>
          </a:ln>
          <a:effectLst/>
        </c:spPr>
        <c:marker>
          <c:spPr>
            <a:solidFill>
              <a:schemeClr val="accent1"/>
            </a:solidFill>
            <a:ln w="9525">
              <a:solidFill>
                <a:schemeClr val="accent1"/>
              </a:solidFill>
            </a:ln>
            <a:effectLst/>
          </c:spPr>
        </c:marker>
      </c:pivotFmt>
      <c:pivotFmt>
        <c:idx val="3"/>
        <c:spPr>
          <a:solidFill>
            <a:schemeClr val="accent1"/>
          </a:solidFill>
          <a:ln>
            <a:noFill/>
          </a:ln>
          <a:effectLst/>
        </c:spPr>
        <c:marker>
          <c:spPr>
            <a:solidFill>
              <a:schemeClr val="accent1"/>
            </a:solidFill>
            <a:ln w="9525">
              <a:solidFill>
                <a:schemeClr val="accent1"/>
              </a:solidFill>
            </a:ln>
            <a:effectLst/>
          </c:spPr>
        </c:marker>
      </c:pivotFmt>
      <c:pivotFmt>
        <c:idx val="4"/>
        <c:spPr>
          <a:solidFill>
            <a:schemeClr val="accent1"/>
          </a:solidFill>
          <a:ln>
            <a:noFill/>
          </a:ln>
          <a:effectLst/>
        </c:spPr>
        <c:marker>
          <c:spPr>
            <a:solidFill>
              <a:schemeClr val="accent1"/>
            </a:solidFill>
            <a:ln w="9525">
              <a:solidFill>
                <a:schemeClr val="accent1"/>
              </a:solidFill>
            </a:ln>
            <a:effectLst/>
          </c:spPr>
        </c:marker>
      </c:pivotFmt>
      <c:pivotFmt>
        <c:idx val="5"/>
        <c:spPr>
          <a:solidFill>
            <a:schemeClr val="accent1"/>
          </a:solidFill>
          <a:ln>
            <a:noFill/>
          </a:ln>
          <a:effectLst/>
        </c:spPr>
        <c:marker>
          <c:spPr>
            <a:solidFill>
              <a:schemeClr val="accent1"/>
            </a:solidFill>
            <a:ln w="9525">
              <a:solidFill>
                <a:schemeClr val="accent1"/>
              </a:solidFill>
            </a:ln>
            <a:effectLst/>
          </c:spPr>
        </c:marker>
      </c:pivotFmt>
      <c:pivotFmt>
        <c:idx val="6"/>
        <c:spPr>
          <a:solidFill>
            <a:schemeClr val="accent1"/>
          </a:solidFill>
          <a:ln>
            <a:noFill/>
          </a:ln>
          <a:effectLst/>
        </c:spPr>
        <c:marker>
          <c:spPr>
            <a:solidFill>
              <a:schemeClr val="accent1"/>
            </a:solidFill>
            <a:ln w="9525">
              <a:solidFill>
                <a:schemeClr val="accent1"/>
              </a:solidFill>
            </a:ln>
            <a:effectLst/>
          </c:spPr>
        </c:marker>
      </c:pivotFmt>
      <c:pivotFmt>
        <c:idx val="7"/>
        <c:spPr>
          <a:solidFill>
            <a:schemeClr val="accent1"/>
          </a:solidFill>
          <a:ln>
            <a:noFill/>
          </a:ln>
          <a:effectLst/>
        </c:spPr>
        <c:marker>
          <c:spPr>
            <a:solidFill>
              <a:schemeClr val="accent1"/>
            </a:solidFill>
            <a:ln w="9525">
              <a:solidFill>
                <a:schemeClr val="accent1"/>
              </a:solidFill>
            </a:ln>
            <a:effectLst/>
          </c:spPr>
        </c:marker>
      </c:pivotFmt>
      <c:pivotFmt>
        <c:idx val="8"/>
        <c:spPr>
          <a:solidFill>
            <a:schemeClr val="accent1"/>
          </a:solidFill>
          <a:ln>
            <a:noFill/>
          </a:ln>
          <a:effectLst/>
        </c:spPr>
        <c:marker>
          <c:spPr>
            <a:solidFill>
              <a:schemeClr val="accent1"/>
            </a:solidFill>
            <a:ln w="9525">
              <a:solidFill>
                <a:schemeClr val="accent1"/>
              </a:solidFill>
            </a:ln>
            <a:effectLst/>
          </c:spPr>
        </c:marker>
      </c:pivotFmt>
      <c:pivotFmt>
        <c:idx val="9"/>
        <c:spPr>
          <a:solidFill>
            <a:schemeClr val="accent1"/>
          </a:solidFill>
          <a:ln>
            <a:noFill/>
          </a:ln>
          <a:effectLst/>
        </c:spPr>
        <c:marker>
          <c:spPr>
            <a:solidFill>
              <a:schemeClr val="accent1"/>
            </a:solidFill>
            <a:ln w="9525">
              <a:solidFill>
                <a:schemeClr val="accent1"/>
              </a:solidFill>
            </a:ln>
            <a:effectLst/>
          </c:spPr>
        </c:marker>
      </c:pivotFmt>
      <c:pivotFmt>
        <c:idx val="10"/>
        <c:spPr>
          <a:solidFill>
            <a:schemeClr val="accent1"/>
          </a:solidFill>
          <a:ln>
            <a:noFill/>
          </a:ln>
          <a:effectLst/>
        </c:spPr>
        <c:marker>
          <c:spPr>
            <a:solidFill>
              <a:schemeClr val="accent1"/>
            </a:solidFill>
            <a:ln w="9525">
              <a:solidFill>
                <a:schemeClr val="accent1"/>
              </a:solidFill>
            </a:ln>
            <a:effectLst/>
          </c:spPr>
        </c:marker>
      </c:pivotFmt>
      <c:pivotFmt>
        <c:idx val="11"/>
        <c:spPr>
          <a:solidFill>
            <a:schemeClr val="accent1"/>
          </a:solidFill>
          <a:ln>
            <a:noFill/>
          </a:ln>
          <a:effectLst/>
        </c:spPr>
        <c:marker>
          <c:spPr>
            <a:solidFill>
              <a:schemeClr val="accent1"/>
            </a:solidFill>
            <a:ln w="9525">
              <a:solidFill>
                <a:schemeClr val="accent1"/>
              </a:solidFill>
            </a:ln>
            <a:effectLst/>
          </c:spPr>
        </c:marker>
      </c:pivotFmt>
      <c:pivotFmt>
        <c:idx val="12"/>
        <c:spPr>
          <a:ln w="28575" cap="rnd">
            <a:solidFill>
              <a:schemeClr val="accent1"/>
            </a:solidFill>
            <a:round/>
          </a:ln>
          <a:effectLst/>
        </c:spPr>
        <c:marker>
          <c:symbol val="circle"/>
          <c:size val="5"/>
          <c:spPr>
            <a:solidFill>
              <a:schemeClr val="accent6">
                <a:lumMod val="60000"/>
              </a:schemeClr>
            </a:solidFill>
            <a:ln w="9525">
              <a:solidFill>
                <a:schemeClr val="accent6">
                  <a:lumMod val="60000"/>
                </a:schemeClr>
              </a:solidFill>
            </a:ln>
            <a:effectLst/>
          </c:spPr>
        </c:marker>
      </c:pivotFmt>
      <c:pivotFmt>
        <c:idx val="13"/>
        <c:spPr>
          <a:ln w="28575" cap="rnd">
            <a:solidFill>
              <a:schemeClr val="accent1"/>
            </a:solidFill>
            <a:round/>
          </a:ln>
          <a:effectLst/>
        </c:spPr>
        <c:marker>
          <c:symbol val="circle"/>
          <c:size val="5"/>
          <c:spPr>
            <a:solidFill>
              <a:schemeClr val="accent5">
                <a:lumMod val="60000"/>
              </a:schemeClr>
            </a:solidFill>
            <a:ln w="9525">
              <a:solidFill>
                <a:schemeClr val="accent5">
                  <a:lumMod val="60000"/>
                </a:schemeClr>
              </a:solidFill>
            </a:ln>
            <a:effectLst/>
          </c:spPr>
        </c:marker>
      </c:pivotFmt>
      <c:pivotFmt>
        <c:idx val="14"/>
        <c:spPr>
          <a:ln w="28575" cap="rnd">
            <a:solidFill>
              <a:schemeClr val="accent1"/>
            </a:solidFill>
            <a:round/>
          </a:ln>
          <a:effectLst/>
        </c:spPr>
        <c:marker>
          <c:symbol val="circle"/>
          <c:size val="5"/>
          <c:spPr>
            <a:solidFill>
              <a:schemeClr val="accent4">
                <a:lumMod val="60000"/>
              </a:schemeClr>
            </a:solidFill>
            <a:ln w="9525">
              <a:solidFill>
                <a:schemeClr val="accent4">
                  <a:lumMod val="60000"/>
                </a:schemeClr>
              </a:solidFill>
            </a:ln>
            <a:effectLst/>
          </c:spPr>
        </c:marker>
      </c:pivotFmt>
      <c:pivotFmt>
        <c:idx val="15"/>
        <c:spPr>
          <a:ln w="28575" cap="rnd">
            <a:solidFill>
              <a:schemeClr val="accent1"/>
            </a:solidFill>
            <a:round/>
          </a:ln>
          <a:effectLst/>
        </c:spPr>
        <c:marker>
          <c:symbol val="circle"/>
          <c:size val="5"/>
          <c:spPr>
            <a:solidFill>
              <a:schemeClr val="accent3">
                <a:lumMod val="60000"/>
              </a:schemeClr>
            </a:solidFill>
            <a:ln w="9525">
              <a:solidFill>
                <a:schemeClr val="accent3">
                  <a:lumMod val="60000"/>
                </a:schemeClr>
              </a:solidFill>
            </a:ln>
            <a:effectLst/>
          </c:spPr>
        </c:marker>
      </c:pivotFmt>
      <c:pivotFmt>
        <c:idx val="16"/>
        <c:spPr>
          <a:ln w="28575" cap="rnd">
            <a:solidFill>
              <a:schemeClr val="accent1"/>
            </a:solidFill>
            <a:round/>
          </a:ln>
          <a:effectLst/>
        </c:spPr>
        <c:marker>
          <c:symbol val="circle"/>
          <c:size val="5"/>
          <c:spPr>
            <a:solidFill>
              <a:schemeClr val="accent2">
                <a:lumMod val="60000"/>
              </a:schemeClr>
            </a:solidFill>
            <a:ln w="9525">
              <a:solidFill>
                <a:schemeClr val="accent2">
                  <a:lumMod val="60000"/>
                </a:schemeClr>
              </a:solidFill>
            </a:ln>
            <a:effectLst/>
          </c:spPr>
        </c:marker>
      </c:pivotFmt>
      <c:pivotFmt>
        <c:idx val="17"/>
        <c:spPr>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ln>
            <a:effectLst/>
          </c:spPr>
        </c:marker>
      </c:pivotFmt>
      <c:pivotFmt>
        <c:idx val="18"/>
        <c:spPr>
          <a:ln w="28575" cap="rnd">
            <a:solidFill>
              <a:schemeClr val="accent1"/>
            </a:solidFill>
            <a:round/>
          </a:ln>
          <a:effectLst/>
        </c:spPr>
        <c:marker>
          <c:symbol val="circle"/>
          <c:size val="5"/>
          <c:spPr>
            <a:solidFill>
              <a:schemeClr val="accent6"/>
            </a:solidFill>
            <a:ln w="9525">
              <a:solidFill>
                <a:schemeClr val="accent6"/>
              </a:solidFill>
            </a:ln>
            <a:effectLst/>
          </c:spPr>
        </c:marker>
      </c:pivotFmt>
      <c:pivotFmt>
        <c:idx val="19"/>
        <c:spPr>
          <a:ln w="28575" cap="rnd">
            <a:solidFill>
              <a:schemeClr val="accent1"/>
            </a:solidFill>
            <a:round/>
          </a:ln>
          <a:effectLst/>
        </c:spPr>
        <c:marker>
          <c:symbol val="circle"/>
          <c:size val="5"/>
          <c:spPr>
            <a:solidFill>
              <a:schemeClr val="accent5"/>
            </a:solidFill>
            <a:ln w="9525">
              <a:solidFill>
                <a:schemeClr val="accent5"/>
              </a:solidFill>
            </a:ln>
            <a:effectLst/>
          </c:spPr>
        </c:marker>
      </c:pivotFmt>
      <c:pivotFmt>
        <c:idx val="20"/>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1"/>
        <c:spPr>
          <a:ln w="28575" cap="rnd">
            <a:solidFill>
              <a:schemeClr val="accent1"/>
            </a:solidFill>
            <a:round/>
          </a:ln>
          <a:effectLst/>
        </c:spPr>
        <c:marker>
          <c:symbol val="circle"/>
          <c:size val="5"/>
          <c:spPr>
            <a:solidFill>
              <a:schemeClr val="accent4"/>
            </a:solidFill>
            <a:ln w="9525">
              <a:solidFill>
                <a:schemeClr val="accent4"/>
              </a:solidFill>
            </a:ln>
            <a:effectLst/>
          </c:spPr>
        </c:marker>
      </c:pivotFmt>
      <c:pivotFmt>
        <c:idx val="22"/>
        <c:spPr>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23"/>
        <c:spPr>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s>
    <c:plotArea>
      <c:layout/>
      <c:lineChart>
        <c:grouping val="standard"/>
        <c:varyColors val="0"/>
        <c:ser>
          <c:idx val="0"/>
          <c:order val="0"/>
          <c:tx>
            <c:strRef>
              <c:f>'Pivot volume'!$B$38:$B$39</c:f>
              <c:strCache>
                <c:ptCount val="1"/>
                <c:pt idx="0">
                  <c:v>VLAREM: 100% alle tanks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volume'!$B$40:$B$51</c:f>
              <c:numCache>
                <c:formatCode>_-* #,##0\ _€_-;\-* #,##0\ _€_-;_-* "-"??\ _€_-;_-@_-</c:formatCode>
                <c:ptCount val="12"/>
                <c:pt idx="0">
                  <c:v>200</c:v>
                </c:pt>
                <c:pt idx="1">
                  <c:v>460</c:v>
                </c:pt>
                <c:pt idx="2">
                  <c:v>720</c:v>
                </c:pt>
                <c:pt idx="3">
                  <c:v>980</c:v>
                </c:pt>
                <c:pt idx="4">
                  <c:v>1240</c:v>
                </c:pt>
                <c:pt idx="5">
                  <c:v>1500</c:v>
                </c:pt>
                <c:pt idx="6">
                  <c:v>1760</c:v>
                </c:pt>
                <c:pt idx="7">
                  <c:v>2020</c:v>
                </c:pt>
                <c:pt idx="8">
                  <c:v>2280</c:v>
                </c:pt>
                <c:pt idx="9">
                  <c:v>2540</c:v>
                </c:pt>
                <c:pt idx="10">
                  <c:v>2800</c:v>
                </c:pt>
                <c:pt idx="11">
                  <c:v>3060</c:v>
                </c:pt>
              </c:numCache>
            </c:numRef>
          </c:val>
          <c:smooth val="0"/>
          <c:extLst>
            <c:ext xmlns:c16="http://schemas.microsoft.com/office/drawing/2014/chart" uri="{C3380CC4-5D6E-409C-BE32-E72D297353CC}">
              <c16:uniqueId val="{00000000-6BD2-48C1-9754-2C0B2E7E754A}"/>
            </c:ext>
          </c:extLst>
        </c:ser>
        <c:ser>
          <c:idx val="1"/>
          <c:order val="1"/>
          <c:tx>
            <c:strRef>
              <c:f>'Pivot volume'!$C$38:$C$39</c:f>
              <c:strCache>
                <c:ptCount val="1"/>
                <c:pt idx="0">
                  <c:v>VLAREM: 50% alle tanks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volume'!$C$40:$C$51</c:f>
              <c:numCache>
                <c:formatCode>_-* #,##0\ _€_-;\-* #,##0\ _€_-;_-* "-"??\ _€_-;_-@_-</c:formatCode>
                <c:ptCount val="12"/>
                <c:pt idx="0">
                  <c:v>100</c:v>
                </c:pt>
                <c:pt idx="1">
                  <c:v>260</c:v>
                </c:pt>
                <c:pt idx="2">
                  <c:v>420</c:v>
                </c:pt>
                <c:pt idx="3">
                  <c:v>580</c:v>
                </c:pt>
                <c:pt idx="4">
                  <c:v>740</c:v>
                </c:pt>
                <c:pt idx="5">
                  <c:v>900</c:v>
                </c:pt>
                <c:pt idx="6">
                  <c:v>1060</c:v>
                </c:pt>
                <c:pt idx="7">
                  <c:v>1220</c:v>
                </c:pt>
                <c:pt idx="8">
                  <c:v>1380</c:v>
                </c:pt>
                <c:pt idx="9">
                  <c:v>1540</c:v>
                </c:pt>
                <c:pt idx="10">
                  <c:v>1700</c:v>
                </c:pt>
                <c:pt idx="11">
                  <c:v>1860</c:v>
                </c:pt>
              </c:numCache>
            </c:numRef>
          </c:val>
          <c:smooth val="0"/>
          <c:extLst>
            <c:ext xmlns:c16="http://schemas.microsoft.com/office/drawing/2014/chart" uri="{C3380CC4-5D6E-409C-BE32-E72D297353CC}">
              <c16:uniqueId val="{00000001-6BD2-48C1-9754-2C0B2E7E754A}"/>
            </c:ext>
          </c:extLst>
        </c:ser>
        <c:ser>
          <c:idx val="2"/>
          <c:order val="2"/>
          <c:tx>
            <c:strRef>
              <c:f>'Pivot volume'!$D$38:$D$39</c:f>
              <c:strCache>
                <c:ptCount val="1"/>
                <c:pt idx="0">
                  <c:v>VLAREM: 100% grootste tank + 25% overige tanks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volume'!$D$40:$D$51</c:f>
              <c:numCache>
                <c:formatCode>_-* #,##0\ _€_-;\-* #,##0\ _€_-;_-* "-"??\ _€_-;_-@_-</c:formatCode>
                <c:ptCount val="12"/>
                <c:pt idx="0">
                  <c:v>200</c:v>
                </c:pt>
                <c:pt idx="1">
                  <c:v>310</c:v>
                </c:pt>
                <c:pt idx="2">
                  <c:v>420</c:v>
                </c:pt>
                <c:pt idx="3">
                  <c:v>530</c:v>
                </c:pt>
                <c:pt idx="4">
                  <c:v>640</c:v>
                </c:pt>
                <c:pt idx="5">
                  <c:v>750</c:v>
                </c:pt>
                <c:pt idx="6">
                  <c:v>860</c:v>
                </c:pt>
                <c:pt idx="7">
                  <c:v>970</c:v>
                </c:pt>
                <c:pt idx="8">
                  <c:v>1080</c:v>
                </c:pt>
                <c:pt idx="9">
                  <c:v>1190</c:v>
                </c:pt>
                <c:pt idx="10">
                  <c:v>1300</c:v>
                </c:pt>
                <c:pt idx="11">
                  <c:v>1410</c:v>
                </c:pt>
              </c:numCache>
            </c:numRef>
          </c:val>
          <c:smooth val="0"/>
          <c:extLst>
            <c:ext xmlns:c16="http://schemas.microsoft.com/office/drawing/2014/chart" uri="{C3380CC4-5D6E-409C-BE32-E72D297353CC}">
              <c16:uniqueId val="{00000002-6BD2-48C1-9754-2C0B2E7E754A}"/>
            </c:ext>
          </c:extLst>
        </c:ser>
        <c:ser>
          <c:idx val="3"/>
          <c:order val="3"/>
          <c:tx>
            <c:strRef>
              <c:f>'Pivot volume'!$E$38:$E$39</c:f>
              <c:strCache>
                <c:ptCount val="1"/>
                <c:pt idx="0">
                  <c:v>VLAREM: 100% grootste tank (= falen grootste tank)</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volume'!$E$40:$E$51</c:f>
              <c:numCache>
                <c:formatCode>_-* #,##0\ _€_-;\-* #,##0\ _€_-;_-* "-"??\ _€_-;_-@_-</c:formatCode>
                <c:ptCount val="12"/>
                <c:pt idx="0">
                  <c:v>200</c:v>
                </c:pt>
                <c:pt idx="1">
                  <c:v>260</c:v>
                </c:pt>
                <c:pt idx="2">
                  <c:v>320</c:v>
                </c:pt>
                <c:pt idx="3">
                  <c:v>380</c:v>
                </c:pt>
                <c:pt idx="4">
                  <c:v>440</c:v>
                </c:pt>
                <c:pt idx="5">
                  <c:v>500</c:v>
                </c:pt>
                <c:pt idx="6">
                  <c:v>560</c:v>
                </c:pt>
                <c:pt idx="7">
                  <c:v>620</c:v>
                </c:pt>
                <c:pt idx="8">
                  <c:v>680</c:v>
                </c:pt>
                <c:pt idx="9">
                  <c:v>740</c:v>
                </c:pt>
                <c:pt idx="10">
                  <c:v>800</c:v>
                </c:pt>
                <c:pt idx="11">
                  <c:v>860</c:v>
                </c:pt>
              </c:numCache>
            </c:numRef>
          </c:val>
          <c:smooth val="0"/>
          <c:extLst>
            <c:ext xmlns:c16="http://schemas.microsoft.com/office/drawing/2014/chart" uri="{C3380CC4-5D6E-409C-BE32-E72D297353CC}">
              <c16:uniqueId val="{00000003-6BD2-48C1-9754-2C0B2E7E754A}"/>
            </c:ext>
          </c:extLst>
        </c:ser>
        <c:ser>
          <c:idx val="4"/>
          <c:order val="4"/>
          <c:tx>
            <c:strRef>
              <c:f>'Pivot volume'!$F$38:$F$39</c:f>
              <c:strCache>
                <c:ptCount val="1"/>
                <c:pt idx="0">
                  <c:v>Falen grootste tank + 25% overige tanks (bruto)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volume'!$F$40:$F$51</c:f>
              <c:numCache>
                <c:formatCode>_-* #,##0\ _€_-;\-* #,##0\ _€_-;_-* "-"??\ _€_-;_-@_-</c:formatCode>
                <c:ptCount val="12"/>
                <c:pt idx="0">
                  <c:v>200</c:v>
                </c:pt>
                <c:pt idx="1">
                  <c:v>250</c:v>
                </c:pt>
                <c:pt idx="2">
                  <c:v>300</c:v>
                </c:pt>
                <c:pt idx="3">
                  <c:v>350</c:v>
                </c:pt>
                <c:pt idx="4">
                  <c:v>400</c:v>
                </c:pt>
                <c:pt idx="5">
                  <c:v>450</c:v>
                </c:pt>
                <c:pt idx="6">
                  <c:v>500</c:v>
                </c:pt>
                <c:pt idx="7">
                  <c:v>550</c:v>
                </c:pt>
                <c:pt idx="8">
                  <c:v>600</c:v>
                </c:pt>
                <c:pt idx="9">
                  <c:v>650</c:v>
                </c:pt>
                <c:pt idx="10">
                  <c:v>700</c:v>
                </c:pt>
                <c:pt idx="11">
                  <c:v>750</c:v>
                </c:pt>
              </c:numCache>
            </c:numRef>
          </c:val>
          <c:smooth val="0"/>
          <c:extLst>
            <c:ext xmlns:c16="http://schemas.microsoft.com/office/drawing/2014/chart" uri="{C3380CC4-5D6E-409C-BE32-E72D297353CC}">
              <c16:uniqueId val="{00000004-6BD2-48C1-9754-2C0B2E7E754A}"/>
            </c:ext>
          </c:extLst>
        </c:ser>
        <c:ser>
          <c:idx val="5"/>
          <c:order val="5"/>
          <c:tx>
            <c:strRef>
              <c:f>'Pivot volume'!$G$38:$G$39</c:f>
              <c:strCache>
                <c:ptCount val="1"/>
                <c:pt idx="0">
                  <c:v>Falen grootste tank + 1u blussen plasbrand inkuiping (6,5l/min/m²)</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volume'!$G$40:$G$51</c:f>
              <c:numCache>
                <c:formatCode>_-* #,##0\ _€_-;\-* #,##0\ _€_-;_-* "-"??\ _€_-;_-@_-</c:formatCode>
                <c:ptCount val="12"/>
                <c:pt idx="0">
                  <c:v>270.27027027027026</c:v>
                </c:pt>
                <c:pt idx="1">
                  <c:v>351.35135135135135</c:v>
                </c:pt>
                <c:pt idx="2">
                  <c:v>432.43243243243245</c:v>
                </c:pt>
                <c:pt idx="3">
                  <c:v>513.51351351351354</c:v>
                </c:pt>
                <c:pt idx="4">
                  <c:v>594.59459459459458</c:v>
                </c:pt>
                <c:pt idx="5">
                  <c:v>675.67567567567573</c:v>
                </c:pt>
                <c:pt idx="6">
                  <c:v>756.75675675675677</c:v>
                </c:pt>
                <c:pt idx="7">
                  <c:v>837.83783783783781</c:v>
                </c:pt>
                <c:pt idx="8">
                  <c:v>918.91891891891896</c:v>
                </c:pt>
                <c:pt idx="9">
                  <c:v>1000</c:v>
                </c:pt>
                <c:pt idx="10">
                  <c:v>1081.081081081081</c:v>
                </c:pt>
                <c:pt idx="11">
                  <c:v>1162.1621621621621</c:v>
                </c:pt>
              </c:numCache>
            </c:numRef>
          </c:val>
          <c:smooth val="0"/>
          <c:extLst>
            <c:ext xmlns:c16="http://schemas.microsoft.com/office/drawing/2014/chart" uri="{C3380CC4-5D6E-409C-BE32-E72D297353CC}">
              <c16:uniqueId val="{00000005-6BD2-48C1-9754-2C0B2E7E754A}"/>
            </c:ext>
          </c:extLst>
        </c:ser>
        <c:ser>
          <c:idx val="6"/>
          <c:order val="6"/>
          <c:tx>
            <c:strRef>
              <c:f>'Pivot volume'!$H$38:$H$39</c:f>
              <c:strCache>
                <c:ptCount val="1"/>
                <c:pt idx="0">
                  <c:v>Falen grootste tank + 1u blussen inkuiping + 4u koelen overige tanks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volume'!$H$40:$H$51</c:f>
              <c:numCache>
                <c:formatCode>_-* #,##0\ _€_-;\-* #,##0\ _€_-;_-* "-"??\ _€_-;_-@_-</c:formatCode>
                <c:ptCount val="12"/>
                <c:pt idx="0">
                  <c:v>270.27027027027026</c:v>
                </c:pt>
                <c:pt idx="1">
                  <c:v>400.51293448683532</c:v>
                </c:pt>
                <c:pt idx="2">
                  <c:v>530.75559870340044</c:v>
                </c:pt>
                <c:pt idx="3">
                  <c:v>660.99826291996578</c:v>
                </c:pt>
                <c:pt idx="4">
                  <c:v>791.24092713653067</c:v>
                </c:pt>
                <c:pt idx="5">
                  <c:v>921.48359135309602</c:v>
                </c:pt>
                <c:pt idx="6">
                  <c:v>1051.7262555696611</c:v>
                </c:pt>
                <c:pt idx="7">
                  <c:v>1181.968919786226</c:v>
                </c:pt>
                <c:pt idx="8">
                  <c:v>1312.2115840027911</c:v>
                </c:pt>
                <c:pt idx="9">
                  <c:v>1442.4542482193565</c:v>
                </c:pt>
                <c:pt idx="10">
                  <c:v>1572.6969124359211</c:v>
                </c:pt>
                <c:pt idx="11">
                  <c:v>1702.9395766524867</c:v>
                </c:pt>
              </c:numCache>
            </c:numRef>
          </c:val>
          <c:smooth val="0"/>
          <c:extLst>
            <c:ext xmlns:c16="http://schemas.microsoft.com/office/drawing/2014/chart" uri="{C3380CC4-5D6E-409C-BE32-E72D297353CC}">
              <c16:uniqueId val="{00000006-6BD2-48C1-9754-2C0B2E7E754A}"/>
            </c:ext>
          </c:extLst>
        </c:ser>
        <c:ser>
          <c:idx val="7"/>
          <c:order val="7"/>
          <c:tx>
            <c:strRef>
              <c:f>'Pivot volume'!$I$38:$I$39</c:f>
              <c:strCache>
                <c:ptCount val="1"/>
                <c:pt idx="0">
                  <c:v>Falen grootste tank +  4u koelen overige tanks (2l/min/m² tankopp.)</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volume'!$I$40:$I$51</c:f>
              <c:numCache>
                <c:formatCode>_-* #,##0\ _€_-;\-* #,##0\ _€_-;_-* "-"??\ _€_-;_-@_-</c:formatCode>
                <c:ptCount val="12"/>
                <c:pt idx="0">
                  <c:v>200</c:v>
                </c:pt>
                <c:pt idx="1">
                  <c:v>309.16158313548402</c:v>
                </c:pt>
                <c:pt idx="2">
                  <c:v>418.32316627096804</c:v>
                </c:pt>
                <c:pt idx="3">
                  <c:v>527.48474940645212</c:v>
                </c:pt>
                <c:pt idx="4">
                  <c:v>636.64633254193609</c:v>
                </c:pt>
                <c:pt idx="5">
                  <c:v>745.80791567742017</c:v>
                </c:pt>
                <c:pt idx="6">
                  <c:v>854.96949881290425</c:v>
                </c:pt>
                <c:pt idx="7">
                  <c:v>964.13108194838821</c:v>
                </c:pt>
                <c:pt idx="8">
                  <c:v>1073.2926650838722</c:v>
                </c:pt>
                <c:pt idx="9">
                  <c:v>1182.4542482193563</c:v>
                </c:pt>
                <c:pt idx="10">
                  <c:v>1291.6158313548403</c:v>
                </c:pt>
                <c:pt idx="11">
                  <c:v>1400.7774144903244</c:v>
                </c:pt>
              </c:numCache>
            </c:numRef>
          </c:val>
          <c:smooth val="0"/>
          <c:extLst>
            <c:ext xmlns:c16="http://schemas.microsoft.com/office/drawing/2014/chart" uri="{C3380CC4-5D6E-409C-BE32-E72D297353CC}">
              <c16:uniqueId val="{00000007-6BD2-48C1-9754-2C0B2E7E754A}"/>
            </c:ext>
          </c:extLst>
        </c:ser>
        <c:ser>
          <c:idx val="8"/>
          <c:order val="8"/>
          <c:tx>
            <c:strRef>
              <c:f>'Pivot volume'!$J$38:$J$39</c:f>
              <c:strCache>
                <c:ptCount val="1"/>
                <c:pt idx="0">
                  <c:v>Falen alle tanks - 50% gevuld (bruto)</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volume'!$J$40:$J$51</c:f>
              <c:numCache>
                <c:formatCode>_-* #,##0\ _€_-;\-* #,##0\ _€_-;_-* "-"??\ _€_-;_-@_-</c:formatCode>
                <c:ptCount val="12"/>
                <c:pt idx="0">
                  <c:v>100</c:v>
                </c:pt>
                <c:pt idx="1">
                  <c:v>200</c:v>
                </c:pt>
                <c:pt idx="2">
                  <c:v>300</c:v>
                </c:pt>
                <c:pt idx="3">
                  <c:v>400</c:v>
                </c:pt>
                <c:pt idx="4">
                  <c:v>500</c:v>
                </c:pt>
                <c:pt idx="5">
                  <c:v>600</c:v>
                </c:pt>
                <c:pt idx="6">
                  <c:v>700</c:v>
                </c:pt>
                <c:pt idx="7">
                  <c:v>800</c:v>
                </c:pt>
                <c:pt idx="8">
                  <c:v>900</c:v>
                </c:pt>
                <c:pt idx="9">
                  <c:v>1000</c:v>
                </c:pt>
                <c:pt idx="10">
                  <c:v>1100</c:v>
                </c:pt>
                <c:pt idx="11">
                  <c:v>1200</c:v>
                </c:pt>
              </c:numCache>
            </c:numRef>
          </c:val>
          <c:smooth val="0"/>
          <c:extLst>
            <c:ext xmlns:c16="http://schemas.microsoft.com/office/drawing/2014/chart" uri="{C3380CC4-5D6E-409C-BE32-E72D297353CC}">
              <c16:uniqueId val="{00000008-6BD2-48C1-9754-2C0B2E7E754A}"/>
            </c:ext>
          </c:extLst>
        </c:ser>
        <c:ser>
          <c:idx val="9"/>
          <c:order val="9"/>
          <c:tx>
            <c:strRef>
              <c:f>'Pivot volume'!$K$38:$K$39</c:f>
              <c:strCache>
                <c:ptCount val="1"/>
                <c:pt idx="0">
                  <c:v>Falen alle tanks - 100% gevuld (bruto)</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volume'!$K$40:$K$51</c:f>
              <c:numCache>
                <c:formatCode>_-* #,##0\ _€_-;\-* #,##0\ _€_-;_-* "-"??\ _€_-;_-@_-</c:formatCode>
                <c:ptCount val="12"/>
                <c:pt idx="0">
                  <c:v>200</c:v>
                </c:pt>
                <c:pt idx="1">
                  <c:v>400</c:v>
                </c:pt>
                <c:pt idx="2">
                  <c:v>600</c:v>
                </c:pt>
                <c:pt idx="3">
                  <c:v>800</c:v>
                </c:pt>
                <c:pt idx="4">
                  <c:v>1000</c:v>
                </c:pt>
                <c:pt idx="5">
                  <c:v>1200</c:v>
                </c:pt>
                <c:pt idx="6">
                  <c:v>1400</c:v>
                </c:pt>
                <c:pt idx="7">
                  <c:v>1600</c:v>
                </c:pt>
                <c:pt idx="8">
                  <c:v>1800</c:v>
                </c:pt>
                <c:pt idx="9">
                  <c:v>2000</c:v>
                </c:pt>
                <c:pt idx="10">
                  <c:v>2200</c:v>
                </c:pt>
                <c:pt idx="11">
                  <c:v>2400</c:v>
                </c:pt>
              </c:numCache>
            </c:numRef>
          </c:val>
          <c:smooth val="0"/>
          <c:extLst>
            <c:ext xmlns:c16="http://schemas.microsoft.com/office/drawing/2014/chart" uri="{C3380CC4-5D6E-409C-BE32-E72D297353CC}">
              <c16:uniqueId val="{00000009-6BD2-48C1-9754-2C0B2E7E754A}"/>
            </c:ext>
          </c:extLst>
        </c:ser>
        <c:ser>
          <c:idx val="10"/>
          <c:order val="10"/>
          <c:tx>
            <c:strRef>
              <c:f>'Pivot volume'!$L$38:$L$39</c:f>
              <c:strCache>
                <c:ptCount val="1"/>
                <c:pt idx="0">
                  <c:v>110% grootste tank</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volume'!$L$40:$L$51</c:f>
              <c:numCache>
                <c:formatCode>_-* #,##0\ _€_-;\-* #,##0\ _€_-;_-* "-"??\ _€_-;_-@_-</c:formatCode>
                <c:ptCount val="12"/>
                <c:pt idx="0">
                  <c:v>220.00000000000003</c:v>
                </c:pt>
                <c:pt idx="1">
                  <c:v>280</c:v>
                </c:pt>
                <c:pt idx="2">
                  <c:v>340</c:v>
                </c:pt>
                <c:pt idx="3">
                  <c:v>400</c:v>
                </c:pt>
                <c:pt idx="4">
                  <c:v>460</c:v>
                </c:pt>
                <c:pt idx="5">
                  <c:v>520</c:v>
                </c:pt>
                <c:pt idx="6">
                  <c:v>580</c:v>
                </c:pt>
                <c:pt idx="7">
                  <c:v>640</c:v>
                </c:pt>
                <c:pt idx="8">
                  <c:v>700</c:v>
                </c:pt>
                <c:pt idx="9">
                  <c:v>760</c:v>
                </c:pt>
                <c:pt idx="10">
                  <c:v>820</c:v>
                </c:pt>
                <c:pt idx="11">
                  <c:v>880</c:v>
                </c:pt>
              </c:numCache>
            </c:numRef>
          </c:val>
          <c:smooth val="0"/>
          <c:extLst>
            <c:ext xmlns:c16="http://schemas.microsoft.com/office/drawing/2014/chart" uri="{C3380CC4-5D6E-409C-BE32-E72D297353CC}">
              <c16:uniqueId val="{0000000A-6BD2-48C1-9754-2C0B2E7E754A}"/>
            </c:ext>
          </c:extLst>
        </c:ser>
        <c:ser>
          <c:idx val="11"/>
          <c:order val="11"/>
          <c:tx>
            <c:strRef>
              <c:f>'Pivot volume'!$M$38:$M$39</c:f>
              <c:strCache>
                <c:ptCount val="1"/>
                <c:pt idx="0">
                  <c:v>100% grootste tank + 0,25 m hoogte</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f>'Pivot volume'!$A$40:$A$51</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'Pivot volume'!$M$40:$M$51</c:f>
              <c:numCache>
                <c:formatCode>_-* #,##0\ _€_-;\-* #,##0\ _€_-;_-* "-"??\ _€_-;_-@_-</c:formatCode>
                <c:ptCount val="12"/>
                <c:pt idx="0">
                  <c:v>240</c:v>
                </c:pt>
                <c:pt idx="1">
                  <c:v>312</c:v>
                </c:pt>
                <c:pt idx="2">
                  <c:v>384</c:v>
                </c:pt>
                <c:pt idx="3">
                  <c:v>456</c:v>
                </c:pt>
                <c:pt idx="4">
                  <c:v>528</c:v>
                </c:pt>
                <c:pt idx="5">
                  <c:v>600</c:v>
                </c:pt>
                <c:pt idx="6">
                  <c:v>672</c:v>
                </c:pt>
                <c:pt idx="7">
                  <c:v>744</c:v>
                </c:pt>
                <c:pt idx="8">
                  <c:v>816</c:v>
                </c:pt>
                <c:pt idx="9">
                  <c:v>888</c:v>
                </c:pt>
                <c:pt idx="10">
                  <c:v>960</c:v>
                </c:pt>
                <c:pt idx="11">
                  <c:v>1032</c:v>
                </c:pt>
              </c:numCache>
            </c:numRef>
          </c:val>
          <c:smooth val="0"/>
          <c:extLst>
            <c:ext xmlns:c16="http://schemas.microsoft.com/office/drawing/2014/chart" uri="{C3380CC4-5D6E-409C-BE32-E72D297353CC}">
              <c16:uniqueId val="{0000000B-6BD2-48C1-9754-2C0B2E7E754A}"/>
            </c:ext>
          </c:extLst>
        </c:ser>
        <c:dLbls>
          <c:showLegendKey val="0"/>
          <c:showVal val="0"/>
          <c:showCatName val="0"/>
          <c:showSerName val="0"/>
          <c:showPercent val="0"/>
          <c:showBubbleSize val="0"/>
        </c:dLbls>
        <c:marker val="1"/>
        <c:smooth val="0"/>
        <c:axId val="641280336"/>
        <c:axId val="641287224"/>
      </c:lineChart>
      <c:catAx>
        <c:axId val="64128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41287224"/>
        <c:crosses val="autoZero"/>
        <c:auto val="1"/>
        <c:lblAlgn val="ctr"/>
        <c:lblOffset val="100"/>
        <c:noMultiLvlLbl val="0"/>
      </c:catAx>
      <c:valAx>
        <c:axId val="641287224"/>
        <c:scaling>
          <c:orientation val="minMax"/>
        </c:scaling>
        <c:delete val="0"/>
        <c:axPos val="l"/>
        <c:majorGridlines>
          <c:spPr>
            <a:ln w="9525" cap="flat" cmpd="sng" algn="ctr">
              <a:solidFill>
                <a:schemeClr val="tx1">
                  <a:lumMod val="15000"/>
                  <a:lumOff val="85000"/>
                </a:schemeClr>
              </a:solidFill>
              <a:round/>
            </a:ln>
            <a:effectLst/>
          </c:spPr>
        </c:majorGridlines>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412803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u="sng" baseline="0"/>
              <a:t>Oppervlakte</a:t>
            </a:r>
            <a:r>
              <a:rPr lang="nl-BE" baseline="0"/>
              <a:t> tankenpark met even grote tanks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1483102007770537"/>
          <c:y val="7.7832128615187152E-2"/>
          <c:w val="0.83662927320490055"/>
          <c:h val="0.64484688326027861"/>
        </c:manualLayout>
      </c:layout>
      <c:lineChart>
        <c:grouping val="standard"/>
        <c:varyColors val="0"/>
        <c:ser>
          <c:idx val="2"/>
          <c:order val="1"/>
          <c:tx>
            <c:strRef>
              <c:f>'Grafiek oppervlakte'!$B$41</c:f>
              <c:strCache>
                <c:ptCount val="1"/>
                <c:pt idx="0">
                  <c:v>VLAREM: 100% alle tanks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'Grafiek oppervlakte'!$B$42:$B$53</c:f>
              <c:numCache>
                <c:formatCode>_-* #,##0\ _€_-;\-* #,##0\ _€_-;_-* "-"??\ _€_-;_-@_-</c:formatCode>
                <c:ptCount val="12"/>
                <c:pt idx="0">
                  <c:v>133.33333333333334</c:v>
                </c:pt>
                <c:pt idx="1">
                  <c:v>306.66666666666669</c:v>
                </c:pt>
                <c:pt idx="2">
                  <c:v>480</c:v>
                </c:pt>
                <c:pt idx="3">
                  <c:v>653.33333333333337</c:v>
                </c:pt>
                <c:pt idx="4">
                  <c:v>826.66666666666663</c:v>
                </c:pt>
                <c:pt idx="5">
                  <c:v>1000</c:v>
                </c:pt>
                <c:pt idx="6">
                  <c:v>1173.3333333333333</c:v>
                </c:pt>
                <c:pt idx="7">
                  <c:v>1346.6666666666667</c:v>
                </c:pt>
                <c:pt idx="8">
                  <c:v>1520</c:v>
                </c:pt>
                <c:pt idx="9">
                  <c:v>1693.3333333333333</c:v>
                </c:pt>
                <c:pt idx="10">
                  <c:v>1866.6666666666667</c:v>
                </c:pt>
                <c:pt idx="11">
                  <c:v>2040</c:v>
                </c:pt>
              </c:numCache>
            </c:numRef>
          </c:val>
          <c:smooth val="0"/>
          <c:extLst>
            <c:ext xmlns:c16="http://schemas.microsoft.com/office/drawing/2014/chart" uri="{C3380CC4-5D6E-409C-BE32-E72D297353CC}">
              <c16:uniqueId val="{00000001-D02F-4BC3-97AB-8463279CD27F}"/>
            </c:ext>
          </c:extLst>
        </c:ser>
        <c:ser>
          <c:idx val="3"/>
          <c:order val="2"/>
          <c:tx>
            <c:strRef>
              <c:f>'Grafiek oppervlakte'!$C$41</c:f>
              <c:strCache>
                <c:ptCount val="1"/>
                <c:pt idx="0">
                  <c:v>VLAREM: 50% alle tanks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'Grafiek oppervlakte'!$C$42:$C$53</c:f>
              <c:numCache>
                <c:formatCode>_-* #,##0\ _€_-;\-* #,##0\ _€_-;_-* "-"??\ _€_-;_-@_-</c:formatCode>
                <c:ptCount val="12"/>
                <c:pt idx="0">
                  <c:v>66.666666666666671</c:v>
                </c:pt>
                <c:pt idx="1">
                  <c:v>173.33333333333334</c:v>
                </c:pt>
                <c:pt idx="2">
                  <c:v>280</c:v>
                </c:pt>
                <c:pt idx="3">
                  <c:v>386.66666666666669</c:v>
                </c:pt>
                <c:pt idx="4">
                  <c:v>493.33333333333331</c:v>
                </c:pt>
                <c:pt idx="5">
                  <c:v>600</c:v>
                </c:pt>
                <c:pt idx="6">
                  <c:v>706.66666666666663</c:v>
                </c:pt>
                <c:pt idx="7">
                  <c:v>813.33333333333337</c:v>
                </c:pt>
                <c:pt idx="8">
                  <c:v>920</c:v>
                </c:pt>
                <c:pt idx="9">
                  <c:v>1026.6666666666667</c:v>
                </c:pt>
                <c:pt idx="10">
                  <c:v>1133.3333333333333</c:v>
                </c:pt>
                <c:pt idx="11">
                  <c:v>1240</c:v>
                </c:pt>
              </c:numCache>
            </c:numRef>
          </c:val>
          <c:smooth val="0"/>
          <c:extLst>
            <c:ext xmlns:c16="http://schemas.microsoft.com/office/drawing/2014/chart" uri="{C3380CC4-5D6E-409C-BE32-E72D297353CC}">
              <c16:uniqueId val="{00000002-D02F-4BC3-97AB-8463279CD27F}"/>
            </c:ext>
          </c:extLst>
        </c:ser>
        <c:ser>
          <c:idx val="6"/>
          <c:order val="3"/>
          <c:tx>
            <c:strRef>
              <c:f>'Grafiek oppervlakte'!$D$41</c:f>
              <c:strCache>
                <c:ptCount val="1"/>
                <c:pt idx="0">
                  <c:v>VLAREM: 100% grootste tank + 25% overige tanks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'Grafiek oppervlakte'!$D$42:$D$53</c:f>
              <c:numCache>
                <c:formatCode>_-* #,##0\ _€_-;\-* #,##0\ _€_-;_-* "-"??\ _€_-;_-@_-</c:formatCode>
                <c:ptCount val="12"/>
                <c:pt idx="0">
                  <c:v>133.33333333333334</c:v>
                </c:pt>
                <c:pt idx="1">
                  <c:v>206.66666666666666</c:v>
                </c:pt>
                <c:pt idx="2">
                  <c:v>280</c:v>
                </c:pt>
                <c:pt idx="3">
                  <c:v>353.33333333333331</c:v>
                </c:pt>
                <c:pt idx="4">
                  <c:v>426.66666666666669</c:v>
                </c:pt>
                <c:pt idx="5">
                  <c:v>500</c:v>
                </c:pt>
                <c:pt idx="6">
                  <c:v>573.33333333333337</c:v>
                </c:pt>
                <c:pt idx="7">
                  <c:v>646.66666666666663</c:v>
                </c:pt>
                <c:pt idx="8">
                  <c:v>720</c:v>
                </c:pt>
                <c:pt idx="9">
                  <c:v>793.33333333333337</c:v>
                </c:pt>
                <c:pt idx="10">
                  <c:v>866.66666666666663</c:v>
                </c:pt>
                <c:pt idx="11">
                  <c:v>940</c:v>
                </c:pt>
              </c:numCache>
            </c:numRef>
          </c:val>
          <c:smooth val="0"/>
          <c:extLst>
            <c:ext xmlns:c16="http://schemas.microsoft.com/office/drawing/2014/chart" uri="{C3380CC4-5D6E-409C-BE32-E72D297353CC}">
              <c16:uniqueId val="{00000003-D02F-4BC3-97AB-8463279CD27F}"/>
            </c:ext>
          </c:extLst>
        </c:ser>
        <c:ser>
          <c:idx val="4"/>
          <c:order val="4"/>
          <c:tx>
            <c:strRef>
              <c:f>'Grafiek oppervlakte'!$E$41</c:f>
              <c:strCache>
                <c:ptCount val="1"/>
                <c:pt idx="0">
                  <c:v>VLAREM: 100% grootste tank (= falen grootste tank)</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'Grafiek oppervlakte'!$E$42:$E$53</c:f>
              <c:numCache>
                <c:formatCode>_-* #,##0\ _€_-;\-* #,##0\ _€_-;_-* "-"??\ _€_-;_-@_-</c:formatCode>
                <c:ptCount val="12"/>
                <c:pt idx="0">
                  <c:v>133.33333333333334</c:v>
                </c:pt>
                <c:pt idx="1">
                  <c:v>173.33333333333334</c:v>
                </c:pt>
                <c:pt idx="2">
                  <c:v>213.33333333333334</c:v>
                </c:pt>
                <c:pt idx="3">
                  <c:v>253.33333333333334</c:v>
                </c:pt>
                <c:pt idx="4">
                  <c:v>293.33333333333331</c:v>
                </c:pt>
                <c:pt idx="5">
                  <c:v>333.33333333333331</c:v>
                </c:pt>
                <c:pt idx="6">
                  <c:v>373.33333333333331</c:v>
                </c:pt>
                <c:pt idx="7">
                  <c:v>413.33333333333331</c:v>
                </c:pt>
                <c:pt idx="8">
                  <c:v>453.33333333333331</c:v>
                </c:pt>
                <c:pt idx="9">
                  <c:v>493.33333333333331</c:v>
                </c:pt>
                <c:pt idx="10">
                  <c:v>533.33333333333337</c:v>
                </c:pt>
                <c:pt idx="11">
                  <c:v>573.33333333333337</c:v>
                </c:pt>
              </c:numCache>
            </c:numRef>
          </c:val>
          <c:smooth val="0"/>
          <c:extLst>
            <c:ext xmlns:c16="http://schemas.microsoft.com/office/drawing/2014/chart" uri="{C3380CC4-5D6E-409C-BE32-E72D297353CC}">
              <c16:uniqueId val="{00000004-D02F-4BC3-97AB-8463279CD27F}"/>
            </c:ext>
          </c:extLst>
        </c:ser>
        <c:ser>
          <c:idx val="5"/>
          <c:order val="5"/>
          <c:tx>
            <c:strRef>
              <c:f>'Grafiek oppervlakte'!$F$41</c:f>
              <c:strCache>
                <c:ptCount val="1"/>
                <c:pt idx="0">
                  <c:v>110% grootste tank</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'Grafiek oppervlakte'!$F$42:$F$53</c:f>
              <c:numCache>
                <c:formatCode>_-* #,##0\ _€_-;\-* #,##0\ _€_-;_-* "-"??\ _€_-;_-@_-</c:formatCode>
                <c:ptCount val="12"/>
                <c:pt idx="0">
                  <c:v>146.66666666666669</c:v>
                </c:pt>
                <c:pt idx="1">
                  <c:v>186.66666666666666</c:v>
                </c:pt>
                <c:pt idx="2">
                  <c:v>226.66666666666666</c:v>
                </c:pt>
                <c:pt idx="3">
                  <c:v>266.66666666666669</c:v>
                </c:pt>
                <c:pt idx="4">
                  <c:v>306.66666666666669</c:v>
                </c:pt>
                <c:pt idx="5">
                  <c:v>346.66666666666669</c:v>
                </c:pt>
                <c:pt idx="6">
                  <c:v>386.66666666666669</c:v>
                </c:pt>
                <c:pt idx="7">
                  <c:v>426.66666666666669</c:v>
                </c:pt>
                <c:pt idx="8">
                  <c:v>466.66666666666669</c:v>
                </c:pt>
                <c:pt idx="9">
                  <c:v>506.66666666666669</c:v>
                </c:pt>
                <c:pt idx="10">
                  <c:v>546.66666666666663</c:v>
                </c:pt>
                <c:pt idx="11">
                  <c:v>586.66666666666663</c:v>
                </c:pt>
              </c:numCache>
            </c:numRef>
          </c:val>
          <c:smooth val="0"/>
          <c:extLst>
            <c:ext xmlns:c16="http://schemas.microsoft.com/office/drawing/2014/chart" uri="{C3380CC4-5D6E-409C-BE32-E72D297353CC}">
              <c16:uniqueId val="{00000005-D02F-4BC3-97AB-8463279CD27F}"/>
            </c:ext>
          </c:extLst>
        </c:ser>
        <c:ser>
          <c:idx val="8"/>
          <c:order val="6"/>
          <c:tx>
            <c:strRef>
              <c:f>'Grafiek oppervlakte'!$G$41</c:f>
              <c:strCache>
                <c:ptCount val="1"/>
                <c:pt idx="0">
                  <c:v>100% grootste tank + 0,25 m hoogte</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'Grafiek oppervlakte'!$G$42:$G$53</c:f>
              <c:numCache>
                <c:formatCode>_-* #,##0\ _€_-;\-* #,##0\ _€_-;_-* "-"??\ _€_-;_-@_-</c:formatCode>
                <c:ptCount val="12"/>
                <c:pt idx="0">
                  <c:v>160</c:v>
                </c:pt>
                <c:pt idx="1">
                  <c:v>208</c:v>
                </c:pt>
                <c:pt idx="2">
                  <c:v>256</c:v>
                </c:pt>
                <c:pt idx="3">
                  <c:v>304</c:v>
                </c:pt>
                <c:pt idx="4">
                  <c:v>352</c:v>
                </c:pt>
                <c:pt idx="5">
                  <c:v>400</c:v>
                </c:pt>
                <c:pt idx="6">
                  <c:v>448</c:v>
                </c:pt>
                <c:pt idx="7">
                  <c:v>496</c:v>
                </c:pt>
                <c:pt idx="8">
                  <c:v>544</c:v>
                </c:pt>
                <c:pt idx="9">
                  <c:v>592</c:v>
                </c:pt>
                <c:pt idx="10">
                  <c:v>640</c:v>
                </c:pt>
                <c:pt idx="11">
                  <c:v>688</c:v>
                </c:pt>
              </c:numCache>
            </c:numRef>
          </c:val>
          <c:smooth val="0"/>
          <c:extLst>
            <c:ext xmlns:c16="http://schemas.microsoft.com/office/drawing/2014/chart" uri="{C3380CC4-5D6E-409C-BE32-E72D297353CC}">
              <c16:uniqueId val="{00000006-D02F-4BC3-97AB-8463279CD27F}"/>
            </c:ext>
          </c:extLst>
        </c:ser>
        <c:ser>
          <c:idx val="7"/>
          <c:order val="7"/>
          <c:tx>
            <c:strRef>
              <c:f>'Grafiek oppervlakte'!$H$41</c:f>
              <c:strCache>
                <c:ptCount val="1"/>
                <c:pt idx="0">
                  <c:v>Falen alle tanks - 100% gevuld (bruto)</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'Grafiek oppervlakte'!$H$42:$H$53</c:f>
              <c:numCache>
                <c:formatCode>_-* #,##0\ _€_-;\-* #,##0\ _€_-;_-* "-"??\ _€_-;_-@_-</c:formatCode>
                <c:ptCount val="12"/>
                <c:pt idx="0">
                  <c:v>133.33333333333334</c:v>
                </c:pt>
                <c:pt idx="1">
                  <c:v>266.66666666666669</c:v>
                </c:pt>
                <c:pt idx="2">
                  <c:v>400</c:v>
                </c:pt>
                <c:pt idx="3">
                  <c:v>533.33333333333337</c:v>
                </c:pt>
                <c:pt idx="4">
                  <c:v>666.66666666666663</c:v>
                </c:pt>
                <c:pt idx="5">
                  <c:v>800</c:v>
                </c:pt>
                <c:pt idx="6">
                  <c:v>933.33333333333337</c:v>
                </c:pt>
                <c:pt idx="7">
                  <c:v>1066.6666666666667</c:v>
                </c:pt>
                <c:pt idx="8">
                  <c:v>1200</c:v>
                </c:pt>
                <c:pt idx="9">
                  <c:v>1333.3333333333333</c:v>
                </c:pt>
                <c:pt idx="10">
                  <c:v>1466.6666666666667</c:v>
                </c:pt>
                <c:pt idx="11">
                  <c:v>1600</c:v>
                </c:pt>
              </c:numCache>
            </c:numRef>
          </c:val>
          <c:smooth val="0"/>
          <c:extLst>
            <c:ext xmlns:c16="http://schemas.microsoft.com/office/drawing/2014/chart" uri="{C3380CC4-5D6E-409C-BE32-E72D297353CC}">
              <c16:uniqueId val="{00000007-D02F-4BC3-97AB-8463279CD27F}"/>
            </c:ext>
          </c:extLst>
        </c:ser>
        <c:ser>
          <c:idx val="0"/>
          <c:order val="8"/>
          <c:tx>
            <c:strRef>
              <c:f>'Grafiek oppervlakte'!$I$41</c:f>
              <c:strCache>
                <c:ptCount val="1"/>
                <c:pt idx="0">
                  <c:v>Falen alle tanks - 50% gevuld (bruto)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'Grafiek oppervlakte'!$I$42:$I$53</c:f>
              <c:numCache>
                <c:formatCode>_-* #,##0\ _€_-;\-* #,##0\ _€_-;_-* "-"??\ _€_-;_-@_-</c:formatCode>
                <c:ptCount val="12"/>
                <c:pt idx="0">
                  <c:v>66.666666666666671</c:v>
                </c:pt>
                <c:pt idx="1">
                  <c:v>133.33333333333334</c:v>
                </c:pt>
                <c:pt idx="2">
                  <c:v>200</c:v>
                </c:pt>
                <c:pt idx="3">
                  <c:v>266.66666666666669</c:v>
                </c:pt>
                <c:pt idx="4">
                  <c:v>333.33333333333331</c:v>
                </c:pt>
                <c:pt idx="5">
                  <c:v>400</c:v>
                </c:pt>
                <c:pt idx="6">
                  <c:v>466.66666666666669</c:v>
                </c:pt>
                <c:pt idx="7">
                  <c:v>533.33333333333337</c:v>
                </c:pt>
                <c:pt idx="8">
                  <c:v>600</c:v>
                </c:pt>
                <c:pt idx="9">
                  <c:v>666.66666666666663</c:v>
                </c:pt>
                <c:pt idx="10">
                  <c:v>733.33333333333337</c:v>
                </c:pt>
                <c:pt idx="11">
                  <c:v>800</c:v>
                </c:pt>
              </c:numCache>
            </c:numRef>
          </c:val>
          <c:smooth val="0"/>
          <c:extLst>
            <c:ext xmlns:c16="http://schemas.microsoft.com/office/drawing/2014/chart" uri="{C3380CC4-5D6E-409C-BE32-E72D297353CC}">
              <c16:uniqueId val="{00000008-D02F-4BC3-97AB-8463279CD27F}"/>
            </c:ext>
          </c:extLst>
        </c:ser>
        <c:ser>
          <c:idx val="9"/>
          <c:order val="9"/>
          <c:tx>
            <c:strRef>
              <c:f>'Grafiek oppervlakte'!$J$41</c:f>
              <c:strCache>
                <c:ptCount val="1"/>
                <c:pt idx="0">
                  <c:v>Falen grootste tank + 25% overige tanks (bruto)</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val>
            <c:numRef>
              <c:f>'Grafiek oppervlakte'!$J$42:$J$53</c:f>
              <c:numCache>
                <c:formatCode>_-* #,##0\ _€_-;\-* #,##0\ _€_-;_-* "-"??\ _€_-;_-@_-</c:formatCode>
                <c:ptCount val="12"/>
                <c:pt idx="0">
                  <c:v>133.33333333333334</c:v>
                </c:pt>
                <c:pt idx="1">
                  <c:v>166.66666666666666</c:v>
                </c:pt>
                <c:pt idx="2">
                  <c:v>200</c:v>
                </c:pt>
                <c:pt idx="3">
                  <c:v>233.33333333333334</c:v>
                </c:pt>
                <c:pt idx="4">
                  <c:v>266.66666666666669</c:v>
                </c:pt>
                <c:pt idx="5">
                  <c:v>300</c:v>
                </c:pt>
                <c:pt idx="6">
                  <c:v>333.33333333333331</c:v>
                </c:pt>
                <c:pt idx="7">
                  <c:v>366.66666666666669</c:v>
                </c:pt>
                <c:pt idx="8">
                  <c:v>400</c:v>
                </c:pt>
                <c:pt idx="9">
                  <c:v>433.33333333333331</c:v>
                </c:pt>
                <c:pt idx="10">
                  <c:v>466.66666666666669</c:v>
                </c:pt>
                <c:pt idx="11">
                  <c:v>500</c:v>
                </c:pt>
              </c:numCache>
            </c:numRef>
          </c:val>
          <c:smooth val="0"/>
          <c:extLst>
            <c:ext xmlns:c16="http://schemas.microsoft.com/office/drawing/2014/chart" uri="{C3380CC4-5D6E-409C-BE32-E72D297353CC}">
              <c16:uniqueId val="{00000009-D02F-4BC3-97AB-8463279CD27F}"/>
            </c:ext>
          </c:extLst>
        </c:ser>
        <c:ser>
          <c:idx val="10"/>
          <c:order val="10"/>
          <c:tx>
            <c:strRef>
              <c:f>'Grafiek oppervlakte'!$K$41</c:f>
              <c:strCache>
                <c:ptCount val="1"/>
                <c:pt idx="0">
                  <c:v>Falen grootste tank +  4u koelen overige tanks (2l/min/m² tankopp.)</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val>
            <c:numRef>
              <c:f>'Grafiek oppervlakte'!$K$42:$K$53</c:f>
              <c:numCache>
                <c:formatCode>_-* #,##0\ _€_-;\-* #,##0\ _€_-;_-* "-"??\ _€_-;_-@_-</c:formatCode>
                <c:ptCount val="12"/>
                <c:pt idx="0">
                  <c:v>133.33333333333334</c:v>
                </c:pt>
                <c:pt idx="1">
                  <c:v>206.10772209032268</c:v>
                </c:pt>
                <c:pt idx="2">
                  <c:v>278.88211084731205</c:v>
                </c:pt>
                <c:pt idx="3">
                  <c:v>351.65649960430142</c:v>
                </c:pt>
                <c:pt idx="4">
                  <c:v>424.43088836129073</c:v>
                </c:pt>
                <c:pt idx="5">
                  <c:v>497.20527711828009</c:v>
                </c:pt>
                <c:pt idx="6">
                  <c:v>569.97966587526946</c:v>
                </c:pt>
                <c:pt idx="7">
                  <c:v>642.75405463225877</c:v>
                </c:pt>
                <c:pt idx="8">
                  <c:v>715.52844338924808</c:v>
                </c:pt>
                <c:pt idx="9">
                  <c:v>788.30283214623751</c:v>
                </c:pt>
                <c:pt idx="10">
                  <c:v>861.07722090322693</c:v>
                </c:pt>
                <c:pt idx="11">
                  <c:v>933.85160966021624</c:v>
                </c:pt>
              </c:numCache>
            </c:numRef>
          </c:val>
          <c:smooth val="0"/>
          <c:extLst>
            <c:ext xmlns:c16="http://schemas.microsoft.com/office/drawing/2014/chart" uri="{C3380CC4-5D6E-409C-BE32-E72D297353CC}">
              <c16:uniqueId val="{00000000-138E-46E5-A9CE-95667B4E6F0A}"/>
            </c:ext>
          </c:extLst>
        </c:ser>
        <c:ser>
          <c:idx val="11"/>
          <c:order val="11"/>
          <c:tx>
            <c:strRef>
              <c:f>'Grafiek oppervlakte'!$L$41</c:f>
              <c:strCache>
                <c:ptCount val="1"/>
                <c:pt idx="0">
                  <c:v>Falen grootste tank + 1u blussen plasbrand inkuiping (6,5l/min/m²)</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val>
            <c:numRef>
              <c:f>'Grafiek oppervlakte'!$L$42:$L$53</c:f>
              <c:numCache>
                <c:formatCode>_-* #,##0\ _€_-;\-* #,##0\ _€_-;_-* "-"??\ _€_-;_-@_-</c:formatCode>
                <c:ptCount val="12"/>
                <c:pt idx="0">
                  <c:v>180.18018018018017</c:v>
                </c:pt>
                <c:pt idx="1">
                  <c:v>234.23423423423424</c:v>
                </c:pt>
                <c:pt idx="2">
                  <c:v>288.2882882882883</c:v>
                </c:pt>
                <c:pt idx="3">
                  <c:v>342.34234234234236</c:v>
                </c:pt>
                <c:pt idx="4">
                  <c:v>396.39639639639637</c:v>
                </c:pt>
                <c:pt idx="5">
                  <c:v>450.45045045045049</c:v>
                </c:pt>
                <c:pt idx="6">
                  <c:v>504.5045045045045</c:v>
                </c:pt>
                <c:pt idx="7">
                  <c:v>558.5585585585585</c:v>
                </c:pt>
                <c:pt idx="8">
                  <c:v>612.61261261261268</c:v>
                </c:pt>
                <c:pt idx="9">
                  <c:v>666.66666666666663</c:v>
                </c:pt>
                <c:pt idx="10">
                  <c:v>720.72072072072069</c:v>
                </c:pt>
                <c:pt idx="11">
                  <c:v>774.77477477477476</c:v>
                </c:pt>
              </c:numCache>
            </c:numRef>
          </c:val>
          <c:smooth val="0"/>
          <c:extLst>
            <c:ext xmlns:c16="http://schemas.microsoft.com/office/drawing/2014/chart" uri="{C3380CC4-5D6E-409C-BE32-E72D297353CC}">
              <c16:uniqueId val="{00000001-138E-46E5-A9CE-95667B4E6F0A}"/>
            </c:ext>
          </c:extLst>
        </c:ser>
        <c:ser>
          <c:idx val="12"/>
          <c:order val="12"/>
          <c:tx>
            <c:strRef>
              <c:f>'Grafiek oppervlakte'!$M$41</c:f>
              <c:strCache>
                <c:ptCount val="1"/>
                <c:pt idx="0">
                  <c:v>Falen grootste tank + 1u blussen inkuiping + 4u koelen overige tanks</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val>
            <c:numRef>
              <c:f>'Grafiek oppervlakte'!$M$42:$M$53</c:f>
              <c:numCache>
                <c:formatCode>_-* #,##0\ _€_-;\-* #,##0\ _€_-;_-* "-"??\ _€_-;_-@_-</c:formatCode>
                <c:ptCount val="12"/>
                <c:pt idx="0">
                  <c:v>180.1801801801802</c:v>
                </c:pt>
                <c:pt idx="1">
                  <c:v>267.00862299122355</c:v>
                </c:pt>
                <c:pt idx="2">
                  <c:v>353.83706580226692</c:v>
                </c:pt>
                <c:pt idx="3">
                  <c:v>440.66550861331041</c:v>
                </c:pt>
                <c:pt idx="4">
                  <c:v>527.49395142435378</c:v>
                </c:pt>
                <c:pt idx="5">
                  <c:v>614.32239423539727</c:v>
                </c:pt>
                <c:pt idx="6">
                  <c:v>701.15083704644076</c:v>
                </c:pt>
                <c:pt idx="7">
                  <c:v>787.97927985748402</c:v>
                </c:pt>
                <c:pt idx="8">
                  <c:v>874.8077226685275</c:v>
                </c:pt>
                <c:pt idx="9">
                  <c:v>961.63616547957076</c:v>
                </c:pt>
                <c:pt idx="10">
                  <c:v>1048.4646082906143</c:v>
                </c:pt>
                <c:pt idx="11">
                  <c:v>1135.2930511016575</c:v>
                </c:pt>
              </c:numCache>
            </c:numRef>
          </c:val>
          <c:smooth val="0"/>
          <c:extLst>
            <c:ext xmlns:c16="http://schemas.microsoft.com/office/drawing/2014/chart" uri="{C3380CC4-5D6E-409C-BE32-E72D297353CC}">
              <c16:uniqueId val="{00000002-138E-46E5-A9CE-95667B4E6F0A}"/>
            </c:ext>
          </c:extLst>
        </c:ser>
        <c:dLbls>
          <c:showLegendKey val="0"/>
          <c:showVal val="0"/>
          <c:showCatName val="0"/>
          <c:showSerName val="0"/>
          <c:showPercent val="0"/>
          <c:showBubbleSize val="0"/>
        </c:dLbls>
        <c:marker val="1"/>
        <c:smooth val="0"/>
        <c:axId val="488525232"/>
        <c:axId val="488519984"/>
        <c:extLst>
          <c:ext xmlns:c15="http://schemas.microsoft.com/office/drawing/2012/chart" uri="{02D57815-91ED-43cb-92C2-25804820EDAC}">
            <c15:filteredLineSeries>
              <c15:ser>
                <c:idx val="1"/>
                <c:order val="0"/>
                <c:tx>
                  <c:strRef>
                    <c:extLst>
                      <c:ext uri="{02D57815-91ED-43cb-92C2-25804820EDAC}">
                        <c15:formulaRef>
                          <c15:sqref>'Grafiek oppervlakte'!$A$41</c15:sqref>
                        </c15:formulaRef>
                      </c:ext>
                    </c:extLst>
                    <c:strCache>
                      <c:ptCount val="1"/>
                      <c:pt idx="0">
                        <c:v>Aantal tanks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extLst>
                      <c:ext uri="{02D57815-91ED-43cb-92C2-25804820EDAC}">
                        <c15:formulaRef>
                          <c15:sqref>'Grafiek oppervlakte'!$A$42:$A$53</c15:sqref>
                        </c15:formulaRef>
                      </c:ext>
                    </c:extLst>
                    <c:numCache>
                      <c:formatCode>0</c:formatCode>
                      <c:ptCount val="12"/>
                      <c:pt idx="0">
                        <c:v>1</c:v>
                      </c:pt>
                      <c:pt idx="1">
                        <c:v>2</c:v>
                      </c:pt>
                      <c:pt idx="2">
                        <c:v>3</c:v>
                      </c:pt>
                      <c:pt idx="3">
                        <c:v>4</c:v>
                      </c:pt>
                      <c:pt idx="4">
                        <c:v>5</c:v>
                      </c:pt>
                      <c:pt idx="5">
                        <c:v>6</c:v>
                      </c:pt>
                      <c:pt idx="6">
                        <c:v>7</c:v>
                      </c:pt>
                      <c:pt idx="7">
                        <c:v>8</c:v>
                      </c:pt>
                      <c:pt idx="8">
                        <c:v>9</c:v>
                      </c:pt>
                      <c:pt idx="9">
                        <c:v>10</c:v>
                      </c:pt>
                      <c:pt idx="10">
                        <c:v>11</c:v>
                      </c:pt>
                      <c:pt idx="11">
                        <c:v>12</c:v>
                      </c:pt>
                    </c:numCache>
                  </c:numRef>
                </c:val>
                <c:smooth val="0"/>
                <c:extLst>
                  <c:ext xmlns:c16="http://schemas.microsoft.com/office/drawing/2014/chart" uri="{C3380CC4-5D6E-409C-BE32-E72D297353CC}">
                    <c16:uniqueId val="{00000000-D02F-4BC3-97AB-8463279CD27F}"/>
                  </c:ext>
                </c:extLst>
              </c15:ser>
            </c15:filteredLineSeries>
          </c:ext>
        </c:extLst>
      </c:lineChart>
      <c:catAx>
        <c:axId val="488525232"/>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Aantal tanks</a:t>
                </a:r>
              </a:p>
            </c:rich>
          </c:tx>
          <c:layout>
            <c:manualLayout>
              <c:xMode val="edge"/>
              <c:yMode val="edge"/>
              <c:x val="0.18409163477846377"/>
              <c:y val="0.6496382351930820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19984"/>
        <c:crosses val="autoZero"/>
        <c:auto val="1"/>
        <c:lblAlgn val="ctr"/>
        <c:lblOffset val="100"/>
        <c:noMultiLvlLbl val="0"/>
      </c:catAx>
      <c:valAx>
        <c:axId val="488519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Oppervlakte</a:t>
                </a:r>
                <a:r>
                  <a:rPr lang="en-US" sz="1400" baseline="0"/>
                  <a:t> inkuiping</a:t>
                </a:r>
                <a:r>
                  <a:rPr lang="en-US" sz="1400"/>
                  <a:t> (m²)</a:t>
                </a:r>
              </a:p>
            </c:rich>
          </c:tx>
          <c:layout>
            <c:manualLayout>
              <c:xMode val="edge"/>
              <c:yMode val="edge"/>
              <c:x val="0.13058548446339358"/>
              <c:y val="0.2297467017807327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nl-BE"/>
            </a:p>
          </c:txPr>
        </c:title>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88525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B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IBC's op hoogte:</a:t>
            </a:r>
            <a:r>
              <a:rPr lang="nl-BE" baseline="0"/>
              <a:t> </a:t>
            </a:r>
            <a:r>
              <a:rPr lang="nl-BE"/>
              <a:t>Vergelijking vloeistofstraal met mogelijke voorstellen</a:t>
            </a:r>
          </a:p>
        </c:rich>
      </c:tx>
      <c:layout>
        <c:manualLayout>
          <c:xMode val="edge"/>
          <c:yMode val="edge"/>
          <c:x val="8.5204805810096582E-2"/>
          <c:y val="2.78101720576766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lineMarker"/>
        <c:varyColors val="0"/>
        <c:ser>
          <c:idx val="1"/>
          <c:order val="0"/>
          <c:tx>
            <c:strRef>
              <c:f>'7.Vloeistofstraal IBC op hoogte'!$C$12</c:f>
              <c:strCache>
                <c:ptCount val="1"/>
                <c:pt idx="0">
                  <c:v>Horizontale afstand vloeistofstraal (zonder wrijving)</c:v>
                </c:pt>
              </c:strCache>
            </c:strRef>
          </c:tx>
          <c:spPr>
            <a:ln w="25400" cap="rnd">
              <a:noFill/>
              <a:round/>
            </a:ln>
            <a:effectLst/>
          </c:spPr>
          <c:marker>
            <c:symbol val="circle"/>
            <c:size val="5"/>
            <c:spPr>
              <a:solidFill>
                <a:schemeClr val="accent2"/>
              </a:solidFill>
              <a:ln w="9525">
                <a:solidFill>
                  <a:schemeClr val="accent2"/>
                </a:solidFill>
              </a:ln>
              <a:effectLst/>
            </c:spPr>
          </c:marker>
          <c:xVal>
            <c:numRef>
              <c:f>'7.Vloeistofstraal IBC op hoogte'!$A$13:$A$28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'7.Vloeistofstraal IBC op hoogte'!$C$13:$C$28</c:f>
              <c:numCache>
                <c:formatCode>0.00</c:formatCode>
                <c:ptCount val="16"/>
                <c:pt idx="0">
                  <c:v>0</c:v>
                </c:pt>
                <c:pt idx="1">
                  <c:v>2</c:v>
                </c:pt>
                <c:pt idx="2">
                  <c:v>2.8284271247461903</c:v>
                </c:pt>
                <c:pt idx="3">
                  <c:v>3.4641016151377544</c:v>
                </c:pt>
                <c:pt idx="4">
                  <c:v>4</c:v>
                </c:pt>
                <c:pt idx="5">
                  <c:v>4.4721359549995796</c:v>
                </c:pt>
                <c:pt idx="6">
                  <c:v>4.8989794855663558</c:v>
                </c:pt>
                <c:pt idx="7">
                  <c:v>5.2915026221291814</c:v>
                </c:pt>
                <c:pt idx="8">
                  <c:v>5.6568542494923806</c:v>
                </c:pt>
                <c:pt idx="9">
                  <c:v>6</c:v>
                </c:pt>
                <c:pt idx="10">
                  <c:v>6.324555320336759</c:v>
                </c:pt>
                <c:pt idx="11">
                  <c:v>6.6332495807107996</c:v>
                </c:pt>
                <c:pt idx="12">
                  <c:v>6.9282032302755088</c:v>
                </c:pt>
                <c:pt idx="13">
                  <c:v>7.2111025509279782</c:v>
                </c:pt>
                <c:pt idx="14">
                  <c:v>7.4833147735478827</c:v>
                </c:pt>
                <c:pt idx="15">
                  <c:v>7.745966692414834</c:v>
                </c:pt>
              </c:numCache>
            </c:numRef>
          </c:yVal>
          <c:smooth val="0"/>
          <c:extLst>
            <c:ext xmlns:c16="http://schemas.microsoft.com/office/drawing/2014/chart" uri="{C3380CC4-5D6E-409C-BE32-E72D297353CC}">
              <c16:uniqueId val="{00000008-6FD3-4BB6-AF5F-FE13DAC4EFB5}"/>
            </c:ext>
          </c:extLst>
        </c:ser>
        <c:ser>
          <c:idx val="2"/>
          <c:order val="1"/>
          <c:tx>
            <c:strRef>
              <c:f>'7.Vloeistofstraal IBC op hoogte'!$D$12</c:f>
              <c:strCache>
                <c:ptCount val="1"/>
                <c:pt idx="0">
                  <c:v>Horizontale afstand vloeistofstraal, met correctiefactor 0,62</c:v>
                </c:pt>
              </c:strCache>
            </c:strRef>
          </c:tx>
          <c:spPr>
            <a:ln w="25400" cap="rnd">
              <a:noFill/>
              <a:round/>
            </a:ln>
            <a:effectLst/>
          </c:spPr>
          <c:marker>
            <c:symbol val="circle"/>
            <c:size val="5"/>
            <c:spPr>
              <a:solidFill>
                <a:schemeClr val="accent3"/>
              </a:solidFill>
              <a:ln w="9525">
                <a:solidFill>
                  <a:schemeClr val="accent3"/>
                </a:solidFill>
              </a:ln>
              <a:effectLst/>
            </c:spPr>
          </c:marker>
          <c:xVal>
            <c:numRef>
              <c:f>'7.Vloeistofstraal IBC op hoogte'!$A$13:$A$28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'7.Vloeistofstraal IBC op hoogte'!$D$13:$D$28</c:f>
              <c:numCache>
                <c:formatCode>0.00</c:formatCode>
                <c:ptCount val="16"/>
                <c:pt idx="0">
                  <c:v>0</c:v>
                </c:pt>
                <c:pt idx="1">
                  <c:v>1.24</c:v>
                </c:pt>
                <c:pt idx="2">
                  <c:v>1.7536248173426379</c:v>
                </c:pt>
                <c:pt idx="3">
                  <c:v>2.1477430013854075</c:v>
                </c:pt>
                <c:pt idx="4">
                  <c:v>2.48</c:v>
                </c:pt>
                <c:pt idx="5">
                  <c:v>2.7727242920997393</c:v>
                </c:pt>
                <c:pt idx="6">
                  <c:v>3.0373672810511407</c:v>
                </c:pt>
                <c:pt idx="7">
                  <c:v>3.2807316257200925</c:v>
                </c:pt>
                <c:pt idx="8">
                  <c:v>3.5072496346852757</c:v>
                </c:pt>
                <c:pt idx="9">
                  <c:v>3.7199999999999998</c:v>
                </c:pt>
                <c:pt idx="10">
                  <c:v>3.9212242986087906</c:v>
                </c:pt>
                <c:pt idx="11">
                  <c:v>4.112614740040696</c:v>
                </c:pt>
                <c:pt idx="12">
                  <c:v>4.295486002770815</c:v>
                </c:pt>
                <c:pt idx="13">
                  <c:v>4.4708835815753467</c:v>
                </c:pt>
                <c:pt idx="14">
                  <c:v>4.6396551595996876</c:v>
                </c:pt>
                <c:pt idx="15">
                  <c:v>4.8024993492971975</c:v>
                </c:pt>
              </c:numCache>
            </c:numRef>
          </c:yVal>
          <c:smooth val="0"/>
          <c:extLst>
            <c:ext xmlns:c16="http://schemas.microsoft.com/office/drawing/2014/chart" uri="{C3380CC4-5D6E-409C-BE32-E72D297353CC}">
              <c16:uniqueId val="{00000009-6FD3-4BB6-AF5F-FE13DAC4EFB5}"/>
            </c:ext>
          </c:extLst>
        </c:ser>
        <c:ser>
          <c:idx val="0"/>
          <c:order val="2"/>
          <c:tx>
            <c:strRef>
              <c:f>'7.Vloeistofstraal IBC op hoogte'!$E$12</c:f>
              <c:strCache>
                <c:ptCount val="1"/>
                <c:pt idx="0">
                  <c:v>Rekenregel A minimumafstand: helft hoogte bovenkant houder (Hb/2)</c:v>
                </c:pt>
              </c:strCache>
            </c:strRef>
          </c:tx>
          <c:spPr>
            <a:ln w="25400" cap="rnd">
              <a:noFill/>
              <a:round/>
            </a:ln>
            <a:effectLst/>
          </c:spPr>
          <c:marker>
            <c:symbol val="circle"/>
            <c:size val="5"/>
            <c:spPr>
              <a:solidFill>
                <a:schemeClr val="accent1"/>
              </a:solidFill>
              <a:ln w="9525">
                <a:solidFill>
                  <a:schemeClr val="accent1"/>
                </a:solidFill>
              </a:ln>
              <a:effectLst/>
            </c:spPr>
          </c:marker>
          <c:xVal>
            <c:numRef>
              <c:f>'7.Vloeistofstraal IBC op hoogte'!$A$13:$A$28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'7.Vloeistofstraal IBC op hoogte'!$E$13:$E$28</c:f>
              <c:numCache>
                <c:formatCode>General</c:formatCode>
                <c:ptCount val="16"/>
                <c:pt idx="0">
                  <c:v>0.5</c:v>
                </c:pt>
                <c:pt idx="1">
                  <c:v>1</c:v>
                </c:pt>
                <c:pt idx="2">
                  <c:v>1.5</c:v>
                </c:pt>
                <c:pt idx="3">
                  <c:v>2</c:v>
                </c:pt>
                <c:pt idx="4">
                  <c:v>2.5</c:v>
                </c:pt>
                <c:pt idx="5">
                  <c:v>3</c:v>
                </c:pt>
                <c:pt idx="6">
                  <c:v>3.5</c:v>
                </c:pt>
                <c:pt idx="7">
                  <c:v>4</c:v>
                </c:pt>
                <c:pt idx="8">
                  <c:v>4.5</c:v>
                </c:pt>
                <c:pt idx="9">
                  <c:v>5</c:v>
                </c:pt>
                <c:pt idx="10">
                  <c:v>5.5</c:v>
                </c:pt>
                <c:pt idx="11">
                  <c:v>6</c:v>
                </c:pt>
                <c:pt idx="12">
                  <c:v>6.5</c:v>
                </c:pt>
                <c:pt idx="13">
                  <c:v>7</c:v>
                </c:pt>
                <c:pt idx="14">
                  <c:v>7.5</c:v>
                </c:pt>
                <c:pt idx="15">
                  <c:v>8</c:v>
                </c:pt>
              </c:numCache>
            </c:numRef>
          </c:yVal>
          <c:smooth val="0"/>
          <c:extLst>
            <c:ext xmlns:c16="http://schemas.microsoft.com/office/drawing/2014/chart" uri="{C3380CC4-5D6E-409C-BE32-E72D297353CC}">
              <c16:uniqueId val="{00000000-6FD3-4BB6-AF5F-FE13DAC4EFB5}"/>
            </c:ext>
          </c:extLst>
        </c:ser>
        <c:ser>
          <c:idx val="3"/>
          <c:order val="3"/>
          <c:tx>
            <c:strRef>
              <c:f>'7.Vloeistofstraal IBC op hoogte'!$F$12</c:f>
              <c:strCache>
                <c:ptCount val="1"/>
                <c:pt idx="0">
                  <c:v>Rekenregel B minimumafstand: hoogte onderkant houder/3 + eigen hoogte houder (Ho/3 + h)</c:v>
                </c:pt>
              </c:strCache>
            </c:strRef>
          </c:tx>
          <c:spPr>
            <a:ln w="25400" cap="rnd">
              <a:noFill/>
              <a:round/>
            </a:ln>
            <a:effectLst/>
          </c:spPr>
          <c:marker>
            <c:symbol val="circle"/>
            <c:size val="5"/>
            <c:spPr>
              <a:solidFill>
                <a:schemeClr val="accent4"/>
              </a:solidFill>
              <a:ln w="9525">
                <a:solidFill>
                  <a:schemeClr val="accent4"/>
                </a:solidFill>
              </a:ln>
              <a:effectLst/>
            </c:spPr>
          </c:marker>
          <c:xVal>
            <c:numRef>
              <c:f>'7.Vloeistofstraal IBC op hoogte'!$A$13:$A$28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'7.Vloeistofstraal IBC op hoogte'!$F$13:$F$28</c:f>
              <c:numCache>
                <c:formatCode>0.00</c:formatCode>
                <c:ptCount val="16"/>
                <c:pt idx="0">
                  <c:v>1</c:v>
                </c:pt>
                <c:pt idx="1">
                  <c:v>1.3333333333333333</c:v>
                </c:pt>
                <c:pt idx="2">
                  <c:v>1.6666666666666665</c:v>
                </c:pt>
                <c:pt idx="3">
                  <c:v>2</c:v>
                </c:pt>
                <c:pt idx="4">
                  <c:v>2.333333333333333</c:v>
                </c:pt>
                <c:pt idx="5">
                  <c:v>2.666666666666667</c:v>
                </c:pt>
                <c:pt idx="6">
                  <c:v>3</c:v>
                </c:pt>
                <c:pt idx="7">
                  <c:v>3.3333333333333335</c:v>
                </c:pt>
                <c:pt idx="8">
                  <c:v>3.6666666666666665</c:v>
                </c:pt>
                <c:pt idx="9">
                  <c:v>4</c:v>
                </c:pt>
                <c:pt idx="10">
                  <c:v>4.3333333333333339</c:v>
                </c:pt>
                <c:pt idx="11">
                  <c:v>4.6666666666666661</c:v>
                </c:pt>
                <c:pt idx="12">
                  <c:v>5</c:v>
                </c:pt>
                <c:pt idx="13">
                  <c:v>5.333333333333333</c:v>
                </c:pt>
                <c:pt idx="14">
                  <c:v>5.666666666666667</c:v>
                </c:pt>
                <c:pt idx="15">
                  <c:v>6</c:v>
                </c:pt>
              </c:numCache>
            </c:numRef>
          </c:yVal>
          <c:smooth val="0"/>
          <c:extLst>
            <c:ext xmlns:c16="http://schemas.microsoft.com/office/drawing/2014/chart" uri="{C3380CC4-5D6E-409C-BE32-E72D297353CC}">
              <c16:uniqueId val="{00000004-81F8-468A-A9E4-F464E9C43BBB}"/>
            </c:ext>
          </c:extLst>
        </c:ser>
        <c:dLbls>
          <c:showLegendKey val="0"/>
          <c:showVal val="0"/>
          <c:showCatName val="0"/>
          <c:showSerName val="0"/>
          <c:showPercent val="0"/>
          <c:showBubbleSize val="0"/>
        </c:dLbls>
        <c:axId val="1087135039"/>
        <c:axId val="1103380671"/>
      </c:scatterChart>
      <c:valAx>
        <c:axId val="10871350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Hoogte lek boven vloer = onderkant houder (m)</a:t>
                </a:r>
              </a:p>
            </c:rich>
          </c:tx>
          <c:layout>
            <c:manualLayout>
              <c:xMode val="edge"/>
              <c:yMode val="edge"/>
              <c:x val="0.24873177913438582"/>
              <c:y val="0.908869772315375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103380671"/>
        <c:crosses val="autoZero"/>
        <c:crossBetween val="midCat"/>
      </c:valAx>
      <c:valAx>
        <c:axId val="11033806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Horizontale afstand (m)</a:t>
                </a:r>
              </a:p>
            </c:rich>
          </c:tx>
          <c:layout>
            <c:manualLayout>
              <c:xMode val="edge"/>
              <c:yMode val="edge"/>
              <c:x val="1.5986010352829816E-2"/>
              <c:y val="0.1405939301784531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087135039"/>
        <c:crosses val="autoZero"/>
        <c:crossBetween val="midCat"/>
      </c:valAx>
      <c:spPr>
        <a:noFill/>
        <a:ln>
          <a:noFill/>
        </a:ln>
        <a:effectLst/>
      </c:spPr>
    </c:plotArea>
    <c:legend>
      <c:legendPos val="r"/>
      <c:layout>
        <c:manualLayout>
          <c:xMode val="edge"/>
          <c:yMode val="edge"/>
          <c:x val="0.63565191847071778"/>
          <c:y val="0.24636322997255822"/>
          <c:w val="0.35698601014604453"/>
          <c:h val="0.615390237774376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Tankcontainer op hoogte:</a:t>
            </a:r>
            <a:r>
              <a:rPr lang="nl-BE" baseline="0"/>
              <a:t> </a:t>
            </a:r>
            <a:r>
              <a:rPr lang="nl-BE"/>
              <a:t>Vergelijking vloeistofstraal met mogelijke voorstellen</a:t>
            </a:r>
          </a:p>
        </c:rich>
      </c:tx>
      <c:layout>
        <c:manualLayout>
          <c:xMode val="edge"/>
          <c:yMode val="edge"/>
          <c:x val="8.5204805810096582E-2"/>
          <c:y val="2.78101720576766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lineMarker"/>
        <c:varyColors val="0"/>
        <c:ser>
          <c:idx val="1"/>
          <c:order val="0"/>
          <c:tx>
            <c:strRef>
              <c:f>'8.Vloeistofstraal tankcontainer'!$C$12</c:f>
              <c:strCache>
                <c:ptCount val="1"/>
                <c:pt idx="0">
                  <c:v>Horizontale afstand vloeistofstraal (zonder wrijving)</c:v>
                </c:pt>
              </c:strCache>
            </c:strRef>
          </c:tx>
          <c:spPr>
            <a:ln w="25400" cap="rnd">
              <a:noFill/>
              <a:round/>
            </a:ln>
            <a:effectLst/>
          </c:spPr>
          <c:marker>
            <c:symbol val="circle"/>
            <c:size val="5"/>
            <c:spPr>
              <a:solidFill>
                <a:schemeClr val="accent2"/>
              </a:solidFill>
              <a:ln w="9525">
                <a:solidFill>
                  <a:schemeClr val="accent2"/>
                </a:solidFill>
              </a:ln>
              <a:effectLst/>
            </c:spPr>
          </c:marker>
          <c:xVal>
            <c:numRef>
              <c:f>'8.Vloeistofstraal tankcontainer'!$A$13:$A$29</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'8.Vloeistofstraal tankcontainer'!$C$13:$C$28</c:f>
              <c:numCache>
                <c:formatCode>0.00</c:formatCode>
                <c:ptCount val="16"/>
                <c:pt idx="0">
                  <c:v>0</c:v>
                </c:pt>
                <c:pt idx="1">
                  <c:v>3.1622776601683795</c:v>
                </c:pt>
                <c:pt idx="2">
                  <c:v>4.4721359549995796</c:v>
                </c:pt>
                <c:pt idx="3">
                  <c:v>5.4772255750516612</c:v>
                </c:pt>
                <c:pt idx="4">
                  <c:v>6.324555320336759</c:v>
                </c:pt>
                <c:pt idx="5">
                  <c:v>7.0710678118654755</c:v>
                </c:pt>
                <c:pt idx="6">
                  <c:v>7.745966692414834</c:v>
                </c:pt>
                <c:pt idx="7">
                  <c:v>8.3666002653407556</c:v>
                </c:pt>
                <c:pt idx="8">
                  <c:v>8.9442719099991592</c:v>
                </c:pt>
                <c:pt idx="9">
                  <c:v>9.4868329805051381</c:v>
                </c:pt>
                <c:pt idx="10">
                  <c:v>10</c:v>
                </c:pt>
                <c:pt idx="11">
                  <c:v>10.488088481701515</c:v>
                </c:pt>
                <c:pt idx="12">
                  <c:v>10.954451150103322</c:v>
                </c:pt>
                <c:pt idx="13">
                  <c:v>11.401754250991379</c:v>
                </c:pt>
                <c:pt idx="14">
                  <c:v>11.832159566199232</c:v>
                </c:pt>
                <c:pt idx="15">
                  <c:v>12.24744871391589</c:v>
                </c:pt>
              </c:numCache>
            </c:numRef>
          </c:yVal>
          <c:smooth val="0"/>
          <c:extLst>
            <c:ext xmlns:c16="http://schemas.microsoft.com/office/drawing/2014/chart" uri="{C3380CC4-5D6E-409C-BE32-E72D297353CC}">
              <c16:uniqueId val="{00000000-8EA4-49C2-8EB1-21C617F956CE}"/>
            </c:ext>
          </c:extLst>
        </c:ser>
        <c:ser>
          <c:idx val="2"/>
          <c:order val="1"/>
          <c:tx>
            <c:strRef>
              <c:f>'8.Vloeistofstraal tankcontainer'!$D$12</c:f>
              <c:strCache>
                <c:ptCount val="1"/>
                <c:pt idx="0">
                  <c:v>Horizontale afstand vloeistofstraal, met correctiefactor 0,62</c:v>
                </c:pt>
              </c:strCache>
            </c:strRef>
          </c:tx>
          <c:spPr>
            <a:ln w="25400" cap="rnd">
              <a:noFill/>
              <a:round/>
            </a:ln>
            <a:effectLst/>
          </c:spPr>
          <c:marker>
            <c:symbol val="circle"/>
            <c:size val="5"/>
            <c:spPr>
              <a:solidFill>
                <a:schemeClr val="accent3"/>
              </a:solidFill>
              <a:ln w="9525">
                <a:solidFill>
                  <a:schemeClr val="accent3"/>
                </a:solidFill>
              </a:ln>
              <a:effectLst/>
            </c:spPr>
          </c:marker>
          <c:xVal>
            <c:numRef>
              <c:f>'8.Vloeistofstraal tankcontainer'!$A$13:$A$29</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'8.Vloeistofstraal tankcontainer'!$D$13:$D$28</c:f>
              <c:numCache>
                <c:formatCode>0.00</c:formatCode>
                <c:ptCount val="16"/>
                <c:pt idx="0">
                  <c:v>0</c:v>
                </c:pt>
                <c:pt idx="1">
                  <c:v>1.9606121493043953</c:v>
                </c:pt>
                <c:pt idx="2">
                  <c:v>2.7727242920997393</c:v>
                </c:pt>
                <c:pt idx="3">
                  <c:v>3.3958798565320301</c:v>
                </c:pt>
                <c:pt idx="4">
                  <c:v>3.9212242986087906</c:v>
                </c:pt>
                <c:pt idx="5">
                  <c:v>4.3840620433565949</c:v>
                </c:pt>
                <c:pt idx="6">
                  <c:v>4.8024993492971975</c:v>
                </c:pt>
                <c:pt idx="7">
                  <c:v>5.1872921645112688</c:v>
                </c:pt>
                <c:pt idx="8">
                  <c:v>5.5454485841994785</c:v>
                </c:pt>
                <c:pt idx="9">
                  <c:v>5.8818364479131855</c:v>
                </c:pt>
                <c:pt idx="10">
                  <c:v>6.2</c:v>
                </c:pt>
                <c:pt idx="11">
                  <c:v>6.5026148586549395</c:v>
                </c:pt>
                <c:pt idx="12">
                  <c:v>6.7917597130640601</c:v>
                </c:pt>
                <c:pt idx="13">
                  <c:v>7.0690876356146548</c:v>
                </c:pt>
                <c:pt idx="14">
                  <c:v>7.3359389310435237</c:v>
                </c:pt>
                <c:pt idx="15">
                  <c:v>7.5934182026278521</c:v>
                </c:pt>
              </c:numCache>
            </c:numRef>
          </c:yVal>
          <c:smooth val="0"/>
          <c:extLst>
            <c:ext xmlns:c16="http://schemas.microsoft.com/office/drawing/2014/chart" uri="{C3380CC4-5D6E-409C-BE32-E72D297353CC}">
              <c16:uniqueId val="{00000001-8EA4-49C2-8EB1-21C617F956CE}"/>
            </c:ext>
          </c:extLst>
        </c:ser>
        <c:ser>
          <c:idx val="0"/>
          <c:order val="2"/>
          <c:tx>
            <c:strRef>
              <c:f>'8.Vloeistofstraal tankcontainer'!$E$12</c:f>
              <c:strCache>
                <c:ptCount val="1"/>
                <c:pt idx="0">
                  <c:v>Rekenregel A minimumafstand: helft hoogte bovenkant houder (Hb/2)</c:v>
                </c:pt>
              </c:strCache>
            </c:strRef>
          </c:tx>
          <c:spPr>
            <a:ln w="25400" cap="rnd">
              <a:noFill/>
              <a:round/>
            </a:ln>
            <a:effectLst/>
          </c:spPr>
          <c:marker>
            <c:symbol val="circle"/>
            <c:size val="5"/>
            <c:spPr>
              <a:solidFill>
                <a:schemeClr val="accent1"/>
              </a:solidFill>
              <a:ln w="9525">
                <a:solidFill>
                  <a:schemeClr val="accent1"/>
                </a:solidFill>
              </a:ln>
              <a:effectLst/>
            </c:spPr>
          </c:marker>
          <c:xVal>
            <c:numRef>
              <c:f>'8.Vloeistofstraal tankcontainer'!$A$13:$A$29</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'8.Vloeistofstraal tankcontainer'!$E$13:$E$28</c:f>
              <c:numCache>
                <c:formatCode>General</c:formatCode>
                <c:ptCount val="16"/>
                <c:pt idx="0">
                  <c:v>1.25</c:v>
                </c:pt>
                <c:pt idx="1">
                  <c:v>1.75</c:v>
                </c:pt>
                <c:pt idx="2">
                  <c:v>2.25</c:v>
                </c:pt>
                <c:pt idx="3">
                  <c:v>2.75</c:v>
                </c:pt>
                <c:pt idx="4">
                  <c:v>3.25</c:v>
                </c:pt>
                <c:pt idx="5">
                  <c:v>3.75</c:v>
                </c:pt>
                <c:pt idx="6">
                  <c:v>4.25</c:v>
                </c:pt>
                <c:pt idx="7">
                  <c:v>4.75</c:v>
                </c:pt>
                <c:pt idx="8">
                  <c:v>5.25</c:v>
                </c:pt>
                <c:pt idx="9">
                  <c:v>5.75</c:v>
                </c:pt>
                <c:pt idx="10">
                  <c:v>6.25</c:v>
                </c:pt>
                <c:pt idx="11">
                  <c:v>6.75</c:v>
                </c:pt>
                <c:pt idx="12">
                  <c:v>7.25</c:v>
                </c:pt>
                <c:pt idx="13">
                  <c:v>7.75</c:v>
                </c:pt>
                <c:pt idx="14">
                  <c:v>8.25</c:v>
                </c:pt>
                <c:pt idx="15">
                  <c:v>8.75</c:v>
                </c:pt>
              </c:numCache>
            </c:numRef>
          </c:yVal>
          <c:smooth val="0"/>
          <c:extLst>
            <c:ext xmlns:c16="http://schemas.microsoft.com/office/drawing/2014/chart" uri="{C3380CC4-5D6E-409C-BE32-E72D297353CC}">
              <c16:uniqueId val="{00000002-8EA4-49C2-8EB1-21C617F956CE}"/>
            </c:ext>
          </c:extLst>
        </c:ser>
        <c:ser>
          <c:idx val="3"/>
          <c:order val="3"/>
          <c:tx>
            <c:strRef>
              <c:f>'8.Vloeistofstraal tankcontainer'!$F$12</c:f>
              <c:strCache>
                <c:ptCount val="1"/>
                <c:pt idx="0">
                  <c:v>Rekenregel B minimumafstand: hoogte onderkant houder/3 + eigen hoogte houder (Ho/3 + h)</c:v>
                </c:pt>
              </c:strCache>
            </c:strRef>
          </c:tx>
          <c:spPr>
            <a:ln w="25400" cap="rnd">
              <a:noFill/>
              <a:round/>
            </a:ln>
            <a:effectLst/>
          </c:spPr>
          <c:marker>
            <c:symbol val="circle"/>
            <c:size val="5"/>
            <c:spPr>
              <a:solidFill>
                <a:schemeClr val="accent4"/>
              </a:solidFill>
              <a:ln w="9525">
                <a:solidFill>
                  <a:schemeClr val="accent4"/>
                </a:solidFill>
              </a:ln>
              <a:effectLst/>
            </c:spPr>
          </c:marker>
          <c:xVal>
            <c:numRef>
              <c:f>'8.Vloeistofstraal tankcontainer'!$A$13:$A$29</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'8.Vloeistofstraal tankcontainer'!$F$13:$F$28</c:f>
              <c:numCache>
                <c:formatCode>0.00</c:formatCode>
                <c:ptCount val="16"/>
                <c:pt idx="0">
                  <c:v>2.5</c:v>
                </c:pt>
                <c:pt idx="1">
                  <c:v>2.8333333333333335</c:v>
                </c:pt>
                <c:pt idx="2">
                  <c:v>3.1666666666666665</c:v>
                </c:pt>
                <c:pt idx="3">
                  <c:v>3.5</c:v>
                </c:pt>
                <c:pt idx="4">
                  <c:v>3.833333333333333</c:v>
                </c:pt>
                <c:pt idx="5">
                  <c:v>4.166666666666667</c:v>
                </c:pt>
                <c:pt idx="6">
                  <c:v>4.5</c:v>
                </c:pt>
                <c:pt idx="7">
                  <c:v>4.8333333333333339</c:v>
                </c:pt>
                <c:pt idx="8">
                  <c:v>5.1666666666666661</c:v>
                </c:pt>
                <c:pt idx="9">
                  <c:v>5.5</c:v>
                </c:pt>
                <c:pt idx="10">
                  <c:v>5.8333333333333339</c:v>
                </c:pt>
                <c:pt idx="11">
                  <c:v>6.1666666666666661</c:v>
                </c:pt>
                <c:pt idx="12">
                  <c:v>6.5</c:v>
                </c:pt>
                <c:pt idx="13">
                  <c:v>6.833333333333333</c:v>
                </c:pt>
                <c:pt idx="14">
                  <c:v>7.166666666666667</c:v>
                </c:pt>
                <c:pt idx="15">
                  <c:v>7.5</c:v>
                </c:pt>
              </c:numCache>
            </c:numRef>
          </c:yVal>
          <c:smooth val="0"/>
          <c:extLst>
            <c:ext xmlns:c16="http://schemas.microsoft.com/office/drawing/2014/chart" uri="{C3380CC4-5D6E-409C-BE32-E72D297353CC}">
              <c16:uniqueId val="{00000003-8EA4-49C2-8EB1-21C617F956CE}"/>
            </c:ext>
          </c:extLst>
        </c:ser>
        <c:dLbls>
          <c:showLegendKey val="0"/>
          <c:showVal val="0"/>
          <c:showCatName val="0"/>
          <c:showSerName val="0"/>
          <c:showPercent val="0"/>
          <c:showBubbleSize val="0"/>
        </c:dLbls>
        <c:axId val="1087135039"/>
        <c:axId val="1103380671"/>
      </c:scatterChart>
      <c:valAx>
        <c:axId val="1087135039"/>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Hoogte lek boven vloer</a:t>
                </a:r>
                <a:r>
                  <a:rPr lang="nl-BE" baseline="0"/>
                  <a:t> = onderkant houder</a:t>
                </a:r>
                <a:r>
                  <a:rPr lang="nl-BE"/>
                  <a:t> (m)</a:t>
                </a:r>
              </a:p>
            </c:rich>
          </c:tx>
          <c:layout>
            <c:manualLayout>
              <c:xMode val="edge"/>
              <c:yMode val="edge"/>
              <c:x val="0.2467334890185881"/>
              <c:y val="0.9053770863298470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103380671"/>
        <c:crosses val="autoZero"/>
        <c:crossBetween val="midCat"/>
      </c:valAx>
      <c:valAx>
        <c:axId val="11033806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Horizontale afstand (m)</a:t>
                </a:r>
              </a:p>
            </c:rich>
          </c:tx>
          <c:layout>
            <c:manualLayout>
              <c:xMode val="edge"/>
              <c:yMode val="edge"/>
              <c:x val="1.5986010352829816E-2"/>
              <c:y val="0.1405939301784531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087135039"/>
        <c:crosses val="autoZero"/>
        <c:crossBetween val="midCat"/>
      </c:valAx>
      <c:spPr>
        <a:noFill/>
        <a:ln>
          <a:noFill/>
        </a:ln>
        <a:effectLst/>
      </c:spPr>
    </c:plotArea>
    <c:legend>
      <c:legendPos val="r"/>
      <c:layout>
        <c:manualLayout>
          <c:xMode val="edge"/>
          <c:yMode val="edge"/>
          <c:x val="0.63565191847071778"/>
          <c:y val="0.24636322997255822"/>
          <c:w val="0.35698601014604453"/>
          <c:h val="0.615390237774376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103717</xdr:colOff>
      <xdr:row>0</xdr:row>
      <xdr:rowOff>43392</xdr:rowOff>
    </xdr:from>
    <xdr:to>
      <xdr:col>11</xdr:col>
      <xdr:colOff>91440</xdr:colOff>
      <xdr:row>39</xdr:row>
      <xdr:rowOff>38100</xdr:rowOff>
    </xdr:to>
    <xdr:graphicFrame macro="">
      <xdr:nvGraphicFramePr>
        <xdr:cNvPr id="2" name="Chart 1">
          <a:extLst>
            <a:ext uri="{FF2B5EF4-FFF2-40B4-BE49-F238E27FC236}">
              <a16:creationId xmlns:a16="http://schemas.microsoft.com/office/drawing/2014/main" id="{D2514195-D07A-4093-80A0-D30CCE941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106893</xdr:colOff>
      <xdr:row>5</xdr:row>
      <xdr:rowOff>58632</xdr:rowOff>
    </xdr:from>
    <xdr:to>
      <xdr:col>1</xdr:col>
      <xdr:colOff>783168</xdr:colOff>
      <xdr:row>25</xdr:row>
      <xdr:rowOff>153458</xdr:rowOff>
    </xdr:to>
    <mc:AlternateContent xmlns:mc="http://schemas.openxmlformats.org/markup-compatibility/2006" xmlns:sle15="http://schemas.microsoft.com/office/drawing/2012/slicer">
      <mc:Choice Requires="sle15">
        <xdr:graphicFrame macro="">
          <xdr:nvGraphicFramePr>
            <xdr:cNvPr id="3" name="Aantal tanks">
              <a:extLst>
                <a:ext uri="{FF2B5EF4-FFF2-40B4-BE49-F238E27FC236}">
                  <a16:creationId xmlns:a16="http://schemas.microsoft.com/office/drawing/2014/main" id="{DB55D7D7-D60D-46E8-AD14-B92B67411A4D}"/>
                </a:ext>
              </a:extLst>
            </xdr:cNvPr>
            <xdr:cNvGraphicFramePr/>
          </xdr:nvGraphicFramePr>
          <xdr:xfrm>
            <a:off x="0" y="0"/>
            <a:ext cx="0" cy="0"/>
          </xdr:xfrm>
          <a:graphic>
            <a:graphicData uri="http://schemas.microsoft.com/office/drawing/2010/slicer">
              <sle:slicer xmlns:sle="http://schemas.microsoft.com/office/drawing/2010/slicer" name="Aantal tanks"/>
            </a:graphicData>
          </a:graphic>
        </xdr:graphicFrame>
      </mc:Choice>
      <mc:Fallback xmlns="">
        <xdr:sp macro="" textlink="">
          <xdr:nvSpPr>
            <xdr:cNvPr id="0" name=""/>
            <xdr:cNvSpPr>
              <a:spLocks noTextEdit="1"/>
            </xdr:cNvSpPr>
          </xdr:nvSpPr>
          <xdr:spPr>
            <a:xfrm>
              <a:off x="106893" y="1227032"/>
              <a:ext cx="2589742" cy="3820159"/>
            </a:xfrm>
            <a:prstGeom prst="rect">
              <a:avLst/>
            </a:prstGeom>
            <a:solidFill>
              <a:prstClr val="white"/>
            </a:solidFill>
            <a:ln w="1">
              <a:solidFill>
                <a:prstClr val="green"/>
              </a:solidFill>
            </a:ln>
          </xdr:spPr>
          <xdr:txBody>
            <a:bodyPr vertOverflow="clip" horzOverflow="clip"/>
            <a:lstStyle/>
            <a:p>
              <a:r>
                <a:rPr lang="nl-BE"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52917</xdr:colOff>
      <xdr:row>1</xdr:row>
      <xdr:rowOff>70909</xdr:rowOff>
    </xdr:from>
    <xdr:to>
      <xdr:col>12</xdr:col>
      <xdr:colOff>1483995</xdr:colOff>
      <xdr:row>36</xdr:row>
      <xdr:rowOff>161925</xdr:rowOff>
    </xdr:to>
    <xdr:graphicFrame macro="">
      <xdr:nvGraphicFramePr>
        <xdr:cNvPr id="3" name="Chart 2">
          <a:extLst>
            <a:ext uri="{FF2B5EF4-FFF2-40B4-BE49-F238E27FC236}">
              <a16:creationId xmlns:a16="http://schemas.microsoft.com/office/drawing/2014/main" id="{A324E79E-C84A-4793-A74A-DFA97D2CC8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42336</xdr:colOff>
      <xdr:row>0</xdr:row>
      <xdr:rowOff>48682</xdr:rowOff>
    </xdr:from>
    <xdr:to>
      <xdr:col>11</xdr:col>
      <xdr:colOff>533401</xdr:colOff>
      <xdr:row>38</xdr:row>
      <xdr:rowOff>95249</xdr:rowOff>
    </xdr:to>
    <xdr:graphicFrame macro="">
      <xdr:nvGraphicFramePr>
        <xdr:cNvPr id="2" name="Chart 1">
          <a:extLst>
            <a:ext uri="{FF2B5EF4-FFF2-40B4-BE49-F238E27FC236}">
              <a16:creationId xmlns:a16="http://schemas.microsoft.com/office/drawing/2014/main" id="{9D49D1DE-646A-45DC-94F8-D4B1D03C98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31325</xdr:colOff>
      <xdr:row>4</xdr:row>
      <xdr:rowOff>42332</xdr:rowOff>
    </xdr:from>
    <xdr:to>
      <xdr:col>2</xdr:col>
      <xdr:colOff>281516</xdr:colOff>
      <xdr:row>23</xdr:row>
      <xdr:rowOff>114299</xdr:rowOff>
    </xdr:to>
    <mc:AlternateContent xmlns:mc="http://schemas.openxmlformats.org/markup-compatibility/2006" xmlns:sle15="http://schemas.microsoft.com/office/drawing/2012/slicer">
      <mc:Choice Requires="sle15">
        <xdr:graphicFrame macro="">
          <xdr:nvGraphicFramePr>
            <xdr:cNvPr id="3" name="Aantal tanks 1">
              <a:extLst>
                <a:ext uri="{FF2B5EF4-FFF2-40B4-BE49-F238E27FC236}">
                  <a16:creationId xmlns:a16="http://schemas.microsoft.com/office/drawing/2014/main" id="{F73DA962-1733-4E7D-8856-69C5A39E9800}"/>
                </a:ext>
              </a:extLst>
            </xdr:cNvPr>
            <xdr:cNvGraphicFramePr/>
          </xdr:nvGraphicFramePr>
          <xdr:xfrm>
            <a:off x="0" y="0"/>
            <a:ext cx="0" cy="0"/>
          </xdr:xfrm>
          <a:graphic>
            <a:graphicData uri="http://schemas.microsoft.com/office/drawing/2010/slicer">
              <sle:slicer xmlns:sle="http://schemas.microsoft.com/office/drawing/2010/slicer" name="Aantal tanks 1"/>
            </a:graphicData>
          </a:graphic>
        </xdr:graphicFrame>
      </mc:Choice>
      <mc:Fallback xmlns="">
        <xdr:sp macro="" textlink="">
          <xdr:nvSpPr>
            <xdr:cNvPr id="0" name=""/>
            <xdr:cNvSpPr>
              <a:spLocks noTextEdit="1"/>
            </xdr:cNvSpPr>
          </xdr:nvSpPr>
          <xdr:spPr>
            <a:xfrm>
              <a:off x="31325" y="1047749"/>
              <a:ext cx="2938358" cy="3691467"/>
            </a:xfrm>
            <a:prstGeom prst="rect">
              <a:avLst/>
            </a:prstGeom>
            <a:solidFill>
              <a:prstClr val="white"/>
            </a:solidFill>
            <a:ln w="1">
              <a:solidFill>
                <a:prstClr val="green"/>
              </a:solidFill>
            </a:ln>
          </xdr:spPr>
          <xdr:txBody>
            <a:bodyPr vertOverflow="clip" horzOverflow="clip"/>
            <a:lstStyle/>
            <a:p>
              <a:r>
                <a:rPr lang="nl-BE"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18257</xdr:colOff>
      <xdr:row>0</xdr:row>
      <xdr:rowOff>11907</xdr:rowOff>
    </xdr:from>
    <xdr:to>
      <xdr:col>5</xdr:col>
      <xdr:colOff>2063751</xdr:colOff>
      <xdr:row>10</xdr:row>
      <xdr:rowOff>564358</xdr:rowOff>
    </xdr:to>
    <xdr:graphicFrame macro="">
      <xdr:nvGraphicFramePr>
        <xdr:cNvPr id="2" name="Chart 1">
          <a:extLst>
            <a:ext uri="{FF2B5EF4-FFF2-40B4-BE49-F238E27FC236}">
              <a16:creationId xmlns:a16="http://schemas.microsoft.com/office/drawing/2014/main" id="{C275F5F8-1C06-4A1F-9EA8-C5945AA20F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18257</xdr:colOff>
      <xdr:row>0</xdr:row>
      <xdr:rowOff>11907</xdr:rowOff>
    </xdr:from>
    <xdr:to>
      <xdr:col>5</xdr:col>
      <xdr:colOff>2063751</xdr:colOff>
      <xdr:row>10</xdr:row>
      <xdr:rowOff>564358</xdr:rowOff>
    </xdr:to>
    <xdr:graphicFrame macro="">
      <xdr:nvGraphicFramePr>
        <xdr:cNvPr id="2" name="Chart 1">
          <a:extLst>
            <a:ext uri="{FF2B5EF4-FFF2-40B4-BE49-F238E27FC236}">
              <a16:creationId xmlns:a16="http://schemas.microsoft.com/office/drawing/2014/main" id="{7F0ED4EF-1BF6-4826-87EC-891B3393E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ander Aa Sander" refreshedDate="43647.609979629633" createdVersion="6" refreshedVersion="6" minRefreshableVersion="3" recordCount="144" xr:uid="{654D2B50-D768-4058-B41A-5BFDD1BE1BF0}">
  <cacheSource type="worksheet">
    <worksheetSource ref="A53:C197" sheet="Pivot volume"/>
  </cacheSource>
  <cacheFields count="3">
    <cacheField name="Scenario" numFmtId="0">
      <sharedItems count="12">
        <s v="VLAREM: 100% alle tanks"/>
        <s v="VLAREM: 50% alle tanks"/>
        <s v="VLAREM: 100% grootste tank + 25% overige tanks"/>
        <s v="VLAREM: 100% grootste tank (= falen grootste tank)"/>
        <s v="110% grootste tank"/>
        <s v="100% grootste tank + 0,25 m hoogte"/>
        <s v="Falen alle tanks - 100% gevuld (bruto)"/>
        <s v="Falen alle tanks - 50% gevuld (bruto)"/>
        <s v="Falen grootste tank + 25% overige tanks (bruto)"/>
        <s v="Falen grootste tank +  4u koelen overige tanks (2l/min/m² tankopp.)"/>
        <s v="Falen grootste tank + 1u blussen plasbrand inkuiping (6,5l/min/m²)"/>
        <s v="Falen grootste tank + 1u blussen inkuiping + 4u koelen overige tanks"/>
      </sharedItems>
    </cacheField>
    <cacheField name="Aantal tanks" numFmtId="1">
      <sharedItems containsSemiMixedTypes="0" containsString="0" containsNumber="1" containsInteger="1" minValue="1" maxValue="12" count="12">
        <n v="1"/>
        <n v="2"/>
        <n v="3"/>
        <n v="4"/>
        <n v="5"/>
        <n v="6"/>
        <n v="7"/>
        <n v="8"/>
        <n v="9"/>
        <n v="10"/>
        <n v="11"/>
        <n v="12"/>
      </sharedItems>
    </cacheField>
    <cacheField name="Volume (m³)" numFmtId="1">
      <sharedItems containsSemiMixedTypes="0" containsString="0" containsNumber="1" minValue="100" maxValue="30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
  <r>
    <x v="0"/>
    <x v="0"/>
    <n v="200"/>
  </r>
  <r>
    <x v="0"/>
    <x v="1"/>
    <n v="460"/>
  </r>
  <r>
    <x v="0"/>
    <x v="2"/>
    <n v="720"/>
  </r>
  <r>
    <x v="0"/>
    <x v="3"/>
    <n v="980"/>
  </r>
  <r>
    <x v="0"/>
    <x v="4"/>
    <n v="1240"/>
  </r>
  <r>
    <x v="0"/>
    <x v="5"/>
    <n v="1500"/>
  </r>
  <r>
    <x v="0"/>
    <x v="6"/>
    <n v="1760"/>
  </r>
  <r>
    <x v="0"/>
    <x v="7"/>
    <n v="2020"/>
  </r>
  <r>
    <x v="0"/>
    <x v="8"/>
    <n v="2280"/>
  </r>
  <r>
    <x v="0"/>
    <x v="9"/>
    <n v="2540"/>
  </r>
  <r>
    <x v="0"/>
    <x v="10"/>
    <n v="2800"/>
  </r>
  <r>
    <x v="0"/>
    <x v="11"/>
    <n v="3060"/>
  </r>
  <r>
    <x v="1"/>
    <x v="0"/>
    <n v="100"/>
  </r>
  <r>
    <x v="1"/>
    <x v="1"/>
    <n v="260"/>
  </r>
  <r>
    <x v="1"/>
    <x v="2"/>
    <n v="420"/>
  </r>
  <r>
    <x v="1"/>
    <x v="3"/>
    <n v="580"/>
  </r>
  <r>
    <x v="1"/>
    <x v="4"/>
    <n v="740"/>
  </r>
  <r>
    <x v="1"/>
    <x v="5"/>
    <n v="900"/>
  </r>
  <r>
    <x v="1"/>
    <x v="6"/>
    <n v="1060"/>
  </r>
  <r>
    <x v="1"/>
    <x v="7"/>
    <n v="1220"/>
  </r>
  <r>
    <x v="1"/>
    <x v="8"/>
    <n v="1380"/>
  </r>
  <r>
    <x v="1"/>
    <x v="9"/>
    <n v="1540"/>
  </r>
  <r>
    <x v="1"/>
    <x v="10"/>
    <n v="1700"/>
  </r>
  <r>
    <x v="1"/>
    <x v="11"/>
    <n v="1860"/>
  </r>
  <r>
    <x v="2"/>
    <x v="0"/>
    <n v="200"/>
  </r>
  <r>
    <x v="2"/>
    <x v="1"/>
    <n v="310"/>
  </r>
  <r>
    <x v="2"/>
    <x v="2"/>
    <n v="420"/>
  </r>
  <r>
    <x v="2"/>
    <x v="3"/>
    <n v="530"/>
  </r>
  <r>
    <x v="2"/>
    <x v="4"/>
    <n v="640"/>
  </r>
  <r>
    <x v="2"/>
    <x v="5"/>
    <n v="750"/>
  </r>
  <r>
    <x v="2"/>
    <x v="6"/>
    <n v="860"/>
  </r>
  <r>
    <x v="2"/>
    <x v="7"/>
    <n v="970"/>
  </r>
  <r>
    <x v="2"/>
    <x v="8"/>
    <n v="1080"/>
  </r>
  <r>
    <x v="2"/>
    <x v="9"/>
    <n v="1190"/>
  </r>
  <r>
    <x v="2"/>
    <x v="10"/>
    <n v="1300"/>
  </r>
  <r>
    <x v="2"/>
    <x v="11"/>
    <n v="1410"/>
  </r>
  <r>
    <x v="3"/>
    <x v="0"/>
    <n v="200"/>
  </r>
  <r>
    <x v="3"/>
    <x v="1"/>
    <n v="260"/>
  </r>
  <r>
    <x v="3"/>
    <x v="2"/>
    <n v="320"/>
  </r>
  <r>
    <x v="3"/>
    <x v="3"/>
    <n v="380"/>
  </r>
  <r>
    <x v="3"/>
    <x v="4"/>
    <n v="440"/>
  </r>
  <r>
    <x v="3"/>
    <x v="5"/>
    <n v="500"/>
  </r>
  <r>
    <x v="3"/>
    <x v="6"/>
    <n v="560"/>
  </r>
  <r>
    <x v="3"/>
    <x v="7"/>
    <n v="620"/>
  </r>
  <r>
    <x v="3"/>
    <x v="8"/>
    <n v="680"/>
  </r>
  <r>
    <x v="3"/>
    <x v="9"/>
    <n v="740"/>
  </r>
  <r>
    <x v="3"/>
    <x v="10"/>
    <n v="800"/>
  </r>
  <r>
    <x v="3"/>
    <x v="11"/>
    <n v="860"/>
  </r>
  <r>
    <x v="4"/>
    <x v="0"/>
    <n v="220.00000000000003"/>
  </r>
  <r>
    <x v="4"/>
    <x v="1"/>
    <n v="280"/>
  </r>
  <r>
    <x v="4"/>
    <x v="2"/>
    <n v="340"/>
  </r>
  <r>
    <x v="4"/>
    <x v="3"/>
    <n v="400"/>
  </r>
  <r>
    <x v="4"/>
    <x v="4"/>
    <n v="460"/>
  </r>
  <r>
    <x v="4"/>
    <x v="5"/>
    <n v="520"/>
  </r>
  <r>
    <x v="4"/>
    <x v="6"/>
    <n v="580"/>
  </r>
  <r>
    <x v="4"/>
    <x v="7"/>
    <n v="640"/>
  </r>
  <r>
    <x v="4"/>
    <x v="8"/>
    <n v="700"/>
  </r>
  <r>
    <x v="4"/>
    <x v="9"/>
    <n v="760"/>
  </r>
  <r>
    <x v="4"/>
    <x v="10"/>
    <n v="820"/>
  </r>
  <r>
    <x v="4"/>
    <x v="11"/>
    <n v="880"/>
  </r>
  <r>
    <x v="5"/>
    <x v="0"/>
    <n v="240"/>
  </r>
  <r>
    <x v="5"/>
    <x v="1"/>
    <n v="312"/>
  </r>
  <r>
    <x v="5"/>
    <x v="2"/>
    <n v="384"/>
  </r>
  <r>
    <x v="5"/>
    <x v="3"/>
    <n v="456"/>
  </r>
  <r>
    <x v="5"/>
    <x v="4"/>
    <n v="528"/>
  </r>
  <r>
    <x v="5"/>
    <x v="5"/>
    <n v="600"/>
  </r>
  <r>
    <x v="5"/>
    <x v="6"/>
    <n v="672"/>
  </r>
  <r>
    <x v="5"/>
    <x v="7"/>
    <n v="744"/>
  </r>
  <r>
    <x v="5"/>
    <x v="8"/>
    <n v="816"/>
  </r>
  <r>
    <x v="5"/>
    <x v="9"/>
    <n v="888"/>
  </r>
  <r>
    <x v="5"/>
    <x v="10"/>
    <n v="960"/>
  </r>
  <r>
    <x v="5"/>
    <x v="11"/>
    <n v="1032"/>
  </r>
  <r>
    <x v="6"/>
    <x v="0"/>
    <n v="200"/>
  </r>
  <r>
    <x v="6"/>
    <x v="1"/>
    <n v="400"/>
  </r>
  <r>
    <x v="6"/>
    <x v="2"/>
    <n v="600"/>
  </r>
  <r>
    <x v="6"/>
    <x v="3"/>
    <n v="800"/>
  </r>
  <r>
    <x v="6"/>
    <x v="4"/>
    <n v="1000"/>
  </r>
  <r>
    <x v="6"/>
    <x v="5"/>
    <n v="1200"/>
  </r>
  <r>
    <x v="6"/>
    <x v="6"/>
    <n v="1400"/>
  </r>
  <r>
    <x v="6"/>
    <x v="7"/>
    <n v="1600"/>
  </r>
  <r>
    <x v="6"/>
    <x v="8"/>
    <n v="1800"/>
  </r>
  <r>
    <x v="6"/>
    <x v="9"/>
    <n v="2000"/>
  </r>
  <r>
    <x v="6"/>
    <x v="10"/>
    <n v="2200"/>
  </r>
  <r>
    <x v="6"/>
    <x v="11"/>
    <n v="2400"/>
  </r>
  <r>
    <x v="7"/>
    <x v="0"/>
    <n v="100"/>
  </r>
  <r>
    <x v="7"/>
    <x v="1"/>
    <n v="200"/>
  </r>
  <r>
    <x v="7"/>
    <x v="2"/>
    <n v="300"/>
  </r>
  <r>
    <x v="7"/>
    <x v="3"/>
    <n v="400"/>
  </r>
  <r>
    <x v="7"/>
    <x v="4"/>
    <n v="500"/>
  </r>
  <r>
    <x v="7"/>
    <x v="5"/>
    <n v="600"/>
  </r>
  <r>
    <x v="7"/>
    <x v="6"/>
    <n v="700"/>
  </r>
  <r>
    <x v="7"/>
    <x v="7"/>
    <n v="800"/>
  </r>
  <r>
    <x v="7"/>
    <x v="8"/>
    <n v="900"/>
  </r>
  <r>
    <x v="7"/>
    <x v="9"/>
    <n v="1000"/>
  </r>
  <r>
    <x v="7"/>
    <x v="10"/>
    <n v="1100"/>
  </r>
  <r>
    <x v="7"/>
    <x v="11"/>
    <n v="1200"/>
  </r>
  <r>
    <x v="8"/>
    <x v="0"/>
    <n v="200"/>
  </r>
  <r>
    <x v="8"/>
    <x v="1"/>
    <n v="250"/>
  </r>
  <r>
    <x v="8"/>
    <x v="2"/>
    <n v="300"/>
  </r>
  <r>
    <x v="8"/>
    <x v="3"/>
    <n v="350"/>
  </r>
  <r>
    <x v="8"/>
    <x v="4"/>
    <n v="400"/>
  </r>
  <r>
    <x v="8"/>
    <x v="5"/>
    <n v="450"/>
  </r>
  <r>
    <x v="8"/>
    <x v="6"/>
    <n v="500"/>
  </r>
  <r>
    <x v="8"/>
    <x v="7"/>
    <n v="550"/>
  </r>
  <r>
    <x v="8"/>
    <x v="8"/>
    <n v="600"/>
  </r>
  <r>
    <x v="8"/>
    <x v="9"/>
    <n v="650"/>
  </r>
  <r>
    <x v="8"/>
    <x v="10"/>
    <n v="700"/>
  </r>
  <r>
    <x v="8"/>
    <x v="11"/>
    <n v="750"/>
  </r>
  <r>
    <x v="9"/>
    <x v="0"/>
    <n v="200"/>
  </r>
  <r>
    <x v="9"/>
    <x v="1"/>
    <n v="309.16158313548402"/>
  </r>
  <r>
    <x v="9"/>
    <x v="2"/>
    <n v="418.32316627096804"/>
  </r>
  <r>
    <x v="9"/>
    <x v="3"/>
    <n v="527.48474940645212"/>
  </r>
  <r>
    <x v="9"/>
    <x v="4"/>
    <n v="636.64633254193609"/>
  </r>
  <r>
    <x v="9"/>
    <x v="5"/>
    <n v="745.80791567742017"/>
  </r>
  <r>
    <x v="9"/>
    <x v="6"/>
    <n v="854.96949881290425"/>
  </r>
  <r>
    <x v="9"/>
    <x v="7"/>
    <n v="964.13108194838821"/>
  </r>
  <r>
    <x v="9"/>
    <x v="8"/>
    <n v="1073.2926650838722"/>
  </r>
  <r>
    <x v="9"/>
    <x v="9"/>
    <n v="1182.4542482193563"/>
  </r>
  <r>
    <x v="9"/>
    <x v="10"/>
    <n v="1291.6158313548403"/>
  </r>
  <r>
    <x v="9"/>
    <x v="11"/>
    <n v="1400.7774144903244"/>
  </r>
  <r>
    <x v="10"/>
    <x v="0"/>
    <n v="270.27027027027026"/>
  </r>
  <r>
    <x v="10"/>
    <x v="1"/>
    <n v="351.35135135135135"/>
  </r>
  <r>
    <x v="10"/>
    <x v="2"/>
    <n v="432.43243243243245"/>
  </r>
  <r>
    <x v="10"/>
    <x v="3"/>
    <n v="513.51351351351354"/>
  </r>
  <r>
    <x v="10"/>
    <x v="4"/>
    <n v="594.59459459459458"/>
  </r>
  <r>
    <x v="10"/>
    <x v="5"/>
    <n v="675.67567567567573"/>
  </r>
  <r>
    <x v="10"/>
    <x v="6"/>
    <n v="756.75675675675677"/>
  </r>
  <r>
    <x v="10"/>
    <x v="7"/>
    <n v="837.83783783783781"/>
  </r>
  <r>
    <x v="10"/>
    <x v="8"/>
    <n v="918.91891891891896"/>
  </r>
  <r>
    <x v="10"/>
    <x v="9"/>
    <n v="1000"/>
  </r>
  <r>
    <x v="10"/>
    <x v="10"/>
    <n v="1081.081081081081"/>
  </r>
  <r>
    <x v="10"/>
    <x v="11"/>
    <n v="1162.1621621621621"/>
  </r>
  <r>
    <x v="11"/>
    <x v="0"/>
    <n v="270.27027027027026"/>
  </r>
  <r>
    <x v="11"/>
    <x v="1"/>
    <n v="400.51293448683532"/>
  </r>
  <r>
    <x v="11"/>
    <x v="2"/>
    <n v="530.75559870340044"/>
  </r>
  <r>
    <x v="11"/>
    <x v="3"/>
    <n v="660.99826291996578"/>
  </r>
  <r>
    <x v="11"/>
    <x v="4"/>
    <n v="791.24092713653067"/>
  </r>
  <r>
    <x v="11"/>
    <x v="5"/>
    <n v="921.48359135309602"/>
  </r>
  <r>
    <x v="11"/>
    <x v="6"/>
    <n v="1051.7262555696611"/>
  </r>
  <r>
    <x v="11"/>
    <x v="7"/>
    <n v="1181.968919786226"/>
  </r>
  <r>
    <x v="11"/>
    <x v="8"/>
    <n v="1312.2115840027911"/>
  </r>
  <r>
    <x v="11"/>
    <x v="9"/>
    <n v="1442.4542482193565"/>
  </r>
  <r>
    <x v="11"/>
    <x v="10"/>
    <n v="1572.6969124359211"/>
  </r>
  <r>
    <x v="11"/>
    <x v="11"/>
    <n v="1702.939576652486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EFEDFF3-2A9E-4FA6-BE21-0EF510F9759C}" name="PivotTable6"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1" rowHeaderCaption="Aantal tanks" colHeaderCaption="Scenario">
  <location ref="A38:M51" firstHeaderRow="1" firstDataRow="2" firstDataCol="1"/>
  <pivotFields count="3">
    <pivotField axis="axisCol" showAll="0" defaultSubtotal="0">
      <items count="12">
        <item x="0"/>
        <item x="1"/>
        <item x="2"/>
        <item x="3"/>
        <item x="8"/>
        <item x="10"/>
        <item x="11"/>
        <item x="9"/>
        <item x="7"/>
        <item x="6"/>
        <item x="4"/>
        <item x="5"/>
      </items>
    </pivotField>
    <pivotField axis="axisRow" numFmtId="1" showAll="0" defaultSubtotal="0">
      <items count="12">
        <item x="0"/>
        <item x="1"/>
        <item x="2"/>
        <item x="3"/>
        <item x="4"/>
        <item x="5"/>
        <item x="6"/>
        <item x="7"/>
        <item x="8"/>
        <item x="9"/>
        <item x="10"/>
        <item x="11"/>
      </items>
    </pivotField>
    <pivotField dataField="1" numFmtId="1" showAll="0" defaultSubtotal="0"/>
  </pivotFields>
  <rowFields count="1">
    <field x="1"/>
  </rowFields>
  <rowItems count="12">
    <i>
      <x/>
    </i>
    <i>
      <x v="1"/>
    </i>
    <i>
      <x v="2"/>
    </i>
    <i>
      <x v="3"/>
    </i>
    <i>
      <x v="4"/>
    </i>
    <i>
      <x v="5"/>
    </i>
    <i>
      <x v="6"/>
    </i>
    <i>
      <x v="7"/>
    </i>
    <i>
      <x v="8"/>
    </i>
    <i>
      <x v="9"/>
    </i>
    <i>
      <x v="10"/>
    </i>
    <i>
      <x v="11"/>
    </i>
  </rowItems>
  <colFields count="1">
    <field x="0"/>
  </colFields>
  <colItems count="12">
    <i>
      <x/>
    </i>
    <i>
      <x v="1"/>
    </i>
    <i>
      <x v="2"/>
    </i>
    <i>
      <x v="3"/>
    </i>
    <i>
      <x v="4"/>
    </i>
    <i>
      <x v="5"/>
    </i>
    <i>
      <x v="6"/>
    </i>
    <i>
      <x v="7"/>
    </i>
    <i>
      <x v="8"/>
    </i>
    <i>
      <x v="9"/>
    </i>
    <i>
      <x v="10"/>
    </i>
    <i>
      <x v="11"/>
    </i>
  </colItems>
  <dataFields count="1">
    <dataField name=" Volume tankenpark met even grote tanks (m³)" fld="2" baseField="0" baseItem="0" numFmtId="170"/>
  </dataFields>
  <formats count="6">
    <format dxfId="65">
      <pivotArea dataOnly="0" labelOnly="1" fieldPosition="0">
        <references count="1">
          <reference field="0" count="0"/>
        </references>
      </pivotArea>
    </format>
    <format dxfId="64">
      <pivotArea outline="0" collapsedLevelsAreSubtotals="1" fieldPosition="0">
        <references count="1">
          <reference field="0" count="3" selected="0">
            <x v="5"/>
            <x v="6"/>
            <x v="7"/>
          </reference>
        </references>
      </pivotArea>
    </format>
    <format dxfId="63">
      <pivotArea dataOnly="0" labelOnly="1" fieldPosition="0">
        <references count="1">
          <reference field="1" count="0"/>
        </references>
      </pivotArea>
    </format>
    <format dxfId="62">
      <pivotArea field="1" type="button" dataOnly="0" labelOnly="1" outline="0" axis="axisRow" fieldPosition="0"/>
    </format>
    <format dxfId="61">
      <pivotArea type="origin" dataOnly="0" labelOnly="1" outline="0" fieldPosition="0"/>
    </format>
    <format dxfId="60">
      <pivotArea outline="0" collapsedLevelsAreSubtotals="1" fieldPosition="0"/>
    </format>
  </formats>
  <chartFormats count="24">
    <chartFormat chart="0" format="0" series="1">
      <pivotArea type="data" outline="0" fieldPosition="0">
        <references count="1">
          <reference field="0" count="1" selected="0">
            <x v="11"/>
          </reference>
        </references>
      </pivotArea>
    </chartFormat>
    <chartFormat chart="0" format="1" series="1">
      <pivotArea type="data" outline="0" fieldPosition="0">
        <references count="1">
          <reference field="0" count="1" selected="0">
            <x v="10"/>
          </reference>
        </references>
      </pivotArea>
    </chartFormat>
    <chartFormat chart="0" format="2" series="1">
      <pivotArea type="data" outline="0" fieldPosition="0">
        <references count="1">
          <reference field="0" count="1" selected="0">
            <x v="9"/>
          </reference>
        </references>
      </pivotArea>
    </chartFormat>
    <chartFormat chart="0" format="3" series="1">
      <pivotArea type="data" outline="0" fieldPosition="0">
        <references count="1">
          <reference field="0" count="1" selected="0">
            <x v="8"/>
          </reference>
        </references>
      </pivotArea>
    </chartFormat>
    <chartFormat chart="0" format="4" series="1">
      <pivotArea type="data" outline="0" fieldPosition="0">
        <references count="1">
          <reference field="0" count="1" selected="0">
            <x v="7"/>
          </reference>
        </references>
      </pivotArea>
    </chartFormat>
    <chartFormat chart="0" format="5" series="1">
      <pivotArea type="data" outline="0" fieldPosition="0">
        <references count="1">
          <reference field="0" count="1" selected="0">
            <x v="6"/>
          </reference>
        </references>
      </pivotArea>
    </chartFormat>
    <chartFormat chart="0" format="6" series="1">
      <pivotArea type="data" outline="0" fieldPosition="0">
        <references count="1">
          <reference field="0" count="1" selected="0">
            <x v="5"/>
          </reference>
        </references>
      </pivotArea>
    </chartFormat>
    <chartFormat chart="0" format="7" series="1">
      <pivotArea type="data" outline="0" fieldPosition="0">
        <references count="1">
          <reference field="0" count="1" selected="0">
            <x v="4"/>
          </reference>
        </references>
      </pivotArea>
    </chartFormat>
    <chartFormat chart="0" format="8" series="1">
      <pivotArea type="data" outline="0" fieldPosition="0">
        <references count="1">
          <reference field="0" count="1" selected="0">
            <x v="0"/>
          </reference>
        </references>
      </pivotArea>
    </chartFormat>
    <chartFormat chart="0" format="9" series="1">
      <pivotArea type="data" outline="0" fieldPosition="0">
        <references count="1">
          <reference field="0" count="1" selected="0">
            <x v="3"/>
          </reference>
        </references>
      </pivotArea>
    </chartFormat>
    <chartFormat chart="0" format="10" series="1">
      <pivotArea type="data" outline="0" fieldPosition="0">
        <references count="1">
          <reference field="0" count="1" selected="0">
            <x v="2"/>
          </reference>
        </references>
      </pivotArea>
    </chartFormat>
    <chartFormat chart="0" format="11" series="1">
      <pivotArea type="data" outline="0" fieldPosition="0">
        <references count="1">
          <reference field="0" count="1" selected="0">
            <x v="1"/>
          </reference>
        </references>
      </pivotArea>
    </chartFormat>
    <chartFormat chart="0" format="12" series="1">
      <pivotArea type="data" outline="0" fieldPosition="0">
        <references count="2">
          <reference field="4294967294" count="1" selected="0">
            <x v="0"/>
          </reference>
          <reference field="0" count="1" selected="0">
            <x v="11"/>
          </reference>
        </references>
      </pivotArea>
    </chartFormat>
    <chartFormat chart="0" format="13" series="1">
      <pivotArea type="data" outline="0" fieldPosition="0">
        <references count="2">
          <reference field="4294967294" count="1" selected="0">
            <x v="0"/>
          </reference>
          <reference field="0" count="1" selected="0">
            <x v="10"/>
          </reference>
        </references>
      </pivotArea>
    </chartFormat>
    <chartFormat chart="0" format="14" series="1">
      <pivotArea type="data" outline="0" fieldPosition="0">
        <references count="2">
          <reference field="4294967294" count="1" selected="0">
            <x v="0"/>
          </reference>
          <reference field="0" count="1" selected="0">
            <x v="9"/>
          </reference>
        </references>
      </pivotArea>
    </chartFormat>
    <chartFormat chart="0" format="15" series="1">
      <pivotArea type="data" outline="0" fieldPosition="0">
        <references count="2">
          <reference field="4294967294" count="1" selected="0">
            <x v="0"/>
          </reference>
          <reference field="0" count="1" selected="0">
            <x v="8"/>
          </reference>
        </references>
      </pivotArea>
    </chartFormat>
    <chartFormat chart="0" format="16" series="1">
      <pivotArea type="data" outline="0" fieldPosition="0">
        <references count="2">
          <reference field="4294967294" count="1" selected="0">
            <x v="0"/>
          </reference>
          <reference field="0" count="1" selected="0">
            <x v="7"/>
          </reference>
        </references>
      </pivotArea>
    </chartFormat>
    <chartFormat chart="0" format="17" series="1">
      <pivotArea type="data" outline="0" fieldPosition="0">
        <references count="2">
          <reference field="4294967294" count="1" selected="0">
            <x v="0"/>
          </reference>
          <reference field="0" count="1" selected="0">
            <x v="6"/>
          </reference>
        </references>
      </pivotArea>
    </chartFormat>
    <chartFormat chart="0" format="18" series="1">
      <pivotArea type="data" outline="0" fieldPosition="0">
        <references count="2">
          <reference field="4294967294" count="1" selected="0">
            <x v="0"/>
          </reference>
          <reference field="0" count="1" selected="0">
            <x v="5"/>
          </reference>
        </references>
      </pivotArea>
    </chartFormat>
    <chartFormat chart="0" format="19" series="1">
      <pivotArea type="data" outline="0" fieldPosition="0">
        <references count="2">
          <reference field="4294967294" count="1" selected="0">
            <x v="0"/>
          </reference>
          <reference field="0" count="1" selected="0">
            <x v="4"/>
          </reference>
        </references>
      </pivotArea>
    </chartFormat>
    <chartFormat chart="0" format="20" series="1">
      <pivotArea type="data" outline="0" fieldPosition="0">
        <references count="2">
          <reference field="4294967294" count="1" selected="0">
            <x v="0"/>
          </reference>
          <reference field="0" count="1" selected="0">
            <x v="0"/>
          </reference>
        </references>
      </pivotArea>
    </chartFormat>
    <chartFormat chart="0" format="21" series="1">
      <pivotArea type="data" outline="0" fieldPosition="0">
        <references count="2">
          <reference field="4294967294" count="1" selected="0">
            <x v="0"/>
          </reference>
          <reference field="0" count="1" selected="0">
            <x v="3"/>
          </reference>
        </references>
      </pivotArea>
    </chartFormat>
    <chartFormat chart="0" format="22" series="1">
      <pivotArea type="data" outline="0" fieldPosition="0">
        <references count="2">
          <reference field="4294967294" count="1" selected="0">
            <x v="0"/>
          </reference>
          <reference field="0" count="1" selected="0">
            <x v="2"/>
          </reference>
        </references>
      </pivotArea>
    </chartFormat>
    <chartFormat chart="0" format="23"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antal_tanks" xr10:uid="{56DB4C5B-BFFA-40DE-8DDC-D1E9B3ADD338}" sourceName="Aantal tanks">
  <extLst>
    <x:ext xmlns:x15="http://schemas.microsoft.com/office/spreadsheetml/2010/11/main" uri="{2F2917AC-EB37-4324-AD4E-5DD8C200BD13}">
      <x15:tableSlicerCache tableId="8"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antal_tanks1" xr10:uid="{92AEB821-8F4A-4DDA-87F0-19E0261724E9}" sourceName="Aantal tanks">
  <extLst>
    <x:ext xmlns:x15="http://schemas.microsoft.com/office/spreadsheetml/2010/11/main" uri="{2F2917AC-EB37-4324-AD4E-5DD8C200BD13}">
      <x15:tableSlicerCache tableId="9"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antal tanks" xr10:uid="{A3CE5799-6B49-4D01-BE5D-03CD23A1FE0D}" cache="Slicer_Aantal_tanks" caption="Aantal tanks"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antal tanks 1" xr10:uid="{B4B084C4-7E43-4D5A-AA8C-BCC1D4B1DB34}" cache="Slicer_Aantal_tanks1" caption="Aantal tanks"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4FFE84F-B752-40C6-BA74-311BEB3E4769}" name="Table8" displayName="Table8" ref="A41:M53" totalsRowShown="0" headerRowDxfId="82" headerRowBorderDxfId="81" tableBorderDxfId="80" totalsRowBorderDxfId="79">
  <autoFilter ref="A41:M53" xr:uid="{203D8E51-EC35-491C-8DEB-ADEA8039B019}"/>
  <tableColumns count="13">
    <tableColumn id="1" xr3:uid="{833EAAF1-C7A9-4216-A802-4BB9F0798553}" name="Aantal tanks" dataDxfId="78"/>
    <tableColumn id="2" xr3:uid="{E5103AE5-95B8-467B-AAA4-0208D3497FB8}" name="VLAREM: 100% alle tanks" dataDxfId="77" dataCellStyle="Comma">
      <calculatedColumnFormula>$A42*$B$2+($A42-1)*$B$4/$B$3*$B$2</calculatedColumnFormula>
    </tableColumn>
    <tableColumn id="3" xr3:uid="{F9DE45FB-C079-4505-B121-F888C6C7442B}" name="VLAREM: 50% alle tanks" dataDxfId="76" dataCellStyle="Comma">
      <calculatedColumnFormula>0.5*$A42*$B$2+($A42-1)*$B$4/$B$3*$B$2</calculatedColumnFormula>
    </tableColumn>
    <tableColumn id="4" xr3:uid="{00EA336F-F665-46B1-AA09-7A75576EBCA3}" name="VLAREM: 100% grootste tank + 25% overige tanks" dataDxfId="75" dataCellStyle="Comma">
      <calculatedColumnFormula>$A$42*$B$2+($A42-1)*0.25*$B$2+($A42-1)*$B$4/$B$3*$B$2</calculatedColumnFormula>
    </tableColumn>
    <tableColumn id="5" xr3:uid="{2720FE31-414B-41B7-8CF4-E090BCA5E086}" name="VLAREM: 100% grootste tank (= falen grootste tank)" dataDxfId="74" dataCellStyle="Comma">
      <calculatedColumnFormula>$A$42*$B$2+($A42-1)*$B$4/$B$3*$B$2</calculatedColumnFormula>
    </tableColumn>
    <tableColumn id="8" xr3:uid="{0F5C0B1D-25B0-44E1-8F45-2593BAA6A568}" name="Falen alle tanks - 100% gevuld (bruto)" dataDxfId="73" dataCellStyle="Comma">
      <calculatedColumnFormula>A42*$B$2</calculatedColumnFormula>
    </tableColumn>
    <tableColumn id="9" xr3:uid="{A15FD9F6-185C-42A4-B978-120E8F9AFC63}" name="Falen alle tanks - 50% gevuld (bruto)" dataDxfId="72" dataCellStyle="Comma">
      <calculatedColumnFormula>0.5*A42*$B$2</calculatedColumnFormula>
    </tableColumn>
    <tableColumn id="10" xr3:uid="{7F069DF8-2BA3-4C59-B8D1-B8D074745CEC}" name="Falen grootste tank + 25% overige tanks (bruto)" dataDxfId="71" dataCellStyle="Comma">
      <calculatedColumnFormula>$B$2+0.25*($A42-1)*$B$2</calculatedColumnFormula>
    </tableColumn>
    <tableColumn id="11" xr3:uid="{A0FF6BE0-DBF3-4016-93C3-B07CF2092BA7}" name="Falen grootste tank +  4u koelen overige tanks (2l/min/m² tankopp.)" dataDxfId="70" dataCellStyle="Comma">
      <calculatedColumnFormula>$A$42*$B$2+($A42-1)*$B$4/$B$3*$B$2+($A42-1)*4*60*0.002*(2*PI()*$B$39+2*PI()*$B$39*$B$39)</calculatedColumnFormula>
    </tableColumn>
    <tableColumn id="12" xr3:uid="{881A80C3-5815-44A5-8FAE-3E527B8DD709}" name="Falen grootste tank + 1u blussen plasbrand inkuiping (6,5l/min/m²)" dataDxfId="69" dataCellStyle="Comma">
      <calculatedColumnFormula>($A$42*$B$2+($A42-1)*$B$4/$B$3*$B$2)/(1-60*0.0065/$B$4)</calculatedColumnFormula>
    </tableColumn>
    <tableColumn id="13" xr3:uid="{672E6E16-C486-4EC2-BDD3-A2BA746E2826}" name="Falen grootste tank + 1u blussen inkuiping + 4u koelen overige tanks" dataDxfId="68" dataCellStyle="Comma">
      <calculatedColumnFormula>J42+I42-E42</calculatedColumnFormula>
    </tableColumn>
    <tableColumn id="14" xr3:uid="{9170F536-B6E8-4FFD-9BC6-2038B7BC9A4D}" name="110% grootste tank" dataDxfId="67" dataCellStyle="Comma">
      <calculatedColumnFormula>$A$42*1.1*$B$2+($A42-1)*$B$4/$B$3*$B$2</calculatedColumnFormula>
    </tableColumn>
    <tableColumn id="15" xr3:uid="{FC00622D-8E9B-48C7-AAD1-49C75605CD8A}" name="100% grootste tank + 0,25 m hoogte" dataDxfId="66" dataCellStyle="Comma">
      <calculatedColumnFormula>($B$2+($A42-1)*($B$4)/$B$3*$B$2)+(0.25*($B$2+($A42-1)*($B$4)/$B$3*$B$2)/($B$4-0.25))</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ABF52FD-9733-41D9-B797-4B26C8A71BBC}" name="Table9" displayName="Table9" ref="A41:M53" totalsRowShown="0" headerRowDxfId="59" headerRowBorderDxfId="58" tableBorderDxfId="57">
  <autoFilter ref="A41:M53" xr:uid="{A756DAE4-4C42-4085-9CE6-B4CA190A3E1C}"/>
  <tableColumns count="13">
    <tableColumn id="1" xr3:uid="{A3CF3470-0698-4B9D-9BAC-FBA5F9C4FA5D}" name="Aantal tanks" dataDxfId="56"/>
    <tableColumn id="2" xr3:uid="{B3838E27-A9ED-4A52-8617-5BFF4D5C1405}" name="VLAREM: 100% alle tanks" dataDxfId="55" dataCellStyle="Comma">
      <calculatedColumnFormula>($A42*$B$2+($A42-1)*$B$4/$B$3*$B$2)/$B$4</calculatedColumnFormula>
    </tableColumn>
    <tableColumn id="3" xr3:uid="{13B52E7E-74F9-4F09-AB7A-49F8E52C7719}" name="VLAREM: 50% alle tanks" dataDxfId="54" dataCellStyle="Comma">
      <calculatedColumnFormula>(0.5*$A42*$B$2+($A42-1)*$B$4/$B$3*$B$2)/$B$4</calculatedColumnFormula>
    </tableColumn>
    <tableColumn id="4" xr3:uid="{435A3C76-DDED-4753-BF2D-D0C26A68C559}" name="VLAREM: 100% grootste tank + 25% overige tanks" dataDxfId="53" dataCellStyle="Comma">
      <calculatedColumnFormula>($A$42*$B$2+($A42-1)*0.25*$B$2+($A42-1)*$B$4/$B$3*$B$2)/$B$4</calculatedColumnFormula>
    </tableColumn>
    <tableColumn id="5" xr3:uid="{0922E2BC-426B-4F9C-BE39-179BA2E4A431}" name="VLAREM: 100% grootste tank (= falen grootste tank)" dataDxfId="52" dataCellStyle="Comma">
      <calculatedColumnFormula>($A$42*$B$2+($A42-1)*$B$4/$B$3*$B$2)/$B$4</calculatedColumnFormula>
    </tableColumn>
    <tableColumn id="14" xr3:uid="{1A889FF2-3903-4D35-A096-2A1707C227FA}" name="110% grootste tank" dataDxfId="51" dataCellStyle="Comma">
      <calculatedColumnFormula>($A$42*1.1*$B$2+($A42-1)*$B$4/$B$3*$B$2)/$B$4</calculatedColumnFormula>
    </tableColumn>
    <tableColumn id="15" xr3:uid="{573E2D5A-C7DB-4658-B4FC-10E89AF21E50}" name="100% grootste tank + 0,25 m hoogte" dataDxfId="50" dataCellStyle="Comma">
      <calculatedColumnFormula>(($B$2+($A42-1)*($B$4)/$B$3*$B$2)+(0.25*($B$2+($A42-1)*($B$4)/$B$3*$B$2)/($B$4-0.25)))/$B$4</calculatedColumnFormula>
    </tableColumn>
    <tableColumn id="8" xr3:uid="{5C2127DD-3925-411C-A028-4086CD35731C}" name="Falen alle tanks - 100% gevuld (bruto)" dataDxfId="49" dataCellStyle="Comma">
      <calculatedColumnFormula>(A42*$B$2)/$B$4</calculatedColumnFormula>
    </tableColumn>
    <tableColumn id="9" xr3:uid="{AA860204-D1A6-4EAF-875A-481A183FCB48}" name="Falen alle tanks - 50% gevuld (bruto)" dataDxfId="48" dataCellStyle="Comma">
      <calculatedColumnFormula>(0.5*A42*$B$2)/$B$4</calculatedColumnFormula>
    </tableColumn>
    <tableColumn id="10" xr3:uid="{18E96E44-8BB1-459D-BB03-CB07FE9B9055}" name="Falen grootste tank + 25% overige tanks (bruto)" dataDxfId="47" dataCellStyle="Comma">
      <calculatedColumnFormula>($B$2+0.25*($A42-1)*$B$2)/$B$4</calculatedColumnFormula>
    </tableColumn>
    <tableColumn id="11" xr3:uid="{0375EDBD-58D2-4AD2-95D9-56E52DCDC88A}" name="Falen grootste tank +  4u koelen overige tanks (2l/min/m² tankopp.)" dataDxfId="46" dataCellStyle="Comma">
      <calculatedColumnFormula>($A$42*$B$2+($A42-1)*$B$4/$B$3*$B$2+($A42-1)*4*60*0.002*(2*PI()*$B$39+2*PI()*$B$39*$B$39))/$B$4</calculatedColumnFormula>
    </tableColumn>
    <tableColumn id="12" xr3:uid="{5B9C68D9-5986-4FEA-B613-0157B0A47943}" name="Falen grootste tank + 1u blussen plasbrand inkuiping (6,5l/min/m²)" dataDxfId="45" dataCellStyle="Comma">
      <calculatedColumnFormula>(($A$42*$B$2+($A42-1)*$B$4/$B$3*$B$2)/(1-60*0.0065/$B$4))/$B$4</calculatedColumnFormula>
    </tableColumn>
    <tableColumn id="13" xr3:uid="{FDD80B54-2EA1-4CF8-B039-7A339F7818DD}" name="Falen grootste tank + 1u blussen inkuiping + 4u koelen overige tanks" dataDxfId="44" dataCellStyle="Comma">
      <calculatedColumnFormula>L42+K42-E42</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5F5B1E-D25A-4ABE-97A4-6287BD4121BB}" name="Table1" displayName="Table1" ref="A12:H28" totalsRowShown="0" headerRowDxfId="13">
  <autoFilter ref="A12:H28" xr:uid="{F131AEE3-4934-4177-A22F-94AAE729D70C}"/>
  <tableColumns count="8">
    <tableColumn id="1" xr3:uid="{98BE2756-27DC-4013-B602-DF368BEEF8E6}" name="Hoogte lek ten opzichte van vloer H (onderkant IBC)" dataDxfId="12"/>
    <tableColumn id="2" xr3:uid="{CAAEA295-FB6A-48F0-93D8-CD86B1D77EA9}" name="Bovenkant IBC Hb" dataDxfId="11"/>
    <tableColumn id="4" xr3:uid="{566BBC99-0C54-4B50-BC60-47A0F53C9C9C}" name="Horizontale afstand vloeistofstraal (zonder wrijving)" dataDxfId="10">
      <calculatedColumnFormula>2*(A13)^0.5</calculatedColumnFormula>
    </tableColumn>
    <tableColumn id="6" xr3:uid="{4EA1339E-57AA-473A-8EAC-DAFFE16434F5}" name="Horizontale afstand vloeistofstraal, met correctiefactor 0,62" dataDxfId="9">
      <calculatedColumnFormula>C13*0.62</calculatedColumnFormula>
    </tableColumn>
    <tableColumn id="3" xr3:uid="{758D6CCC-3583-4B78-A289-DEBEC3CC23E1}" name="Rekenregel A minimumafstand: helft hoogte bovenkant houder (Hb/2)" dataDxfId="8">
      <calculatedColumnFormula>(A13+1)/2</calculatedColumnFormula>
    </tableColumn>
    <tableColumn id="10" xr3:uid="{36AF46B2-85CE-4830-AE72-97978CEC83D2}" name="Rekenregel B minimumafstand: hoogte onderkant houder/3 + eigen hoogte houder (Ho/3 + h)" dataDxfId="7">
      <calculatedColumnFormula>1+Table1[[#This Row],[Hoogte lek ten opzichte van vloer H (onderkant IBC)]]/3</calculatedColumnFormula>
    </tableColumn>
    <tableColumn id="8" xr3:uid="{8AF642C9-4D74-4632-8B09-6ED887BF1DF1}" name="Horizontale afstand bij lek op hoogte H, uit een op vloer geplaatste, 8 meter hoge houder"/>
    <tableColumn id="9" xr3:uid="{F9F8ED78-E381-43C2-80D2-13779E0ED0B9}" name="Horizontale afstand bij lek  op hoogte H, uit een op vloer geplaatste, 8 meter hoge houder, met correctiefactor 0,6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97FD9B-FE05-43AE-A71D-AF20FC48C3FE}" name="Table13" displayName="Table13" ref="A12:H28" totalsRowShown="0" headerRowDxfId="6">
  <autoFilter ref="A12:H28" xr:uid="{F131AEE3-4934-4177-A22F-94AAE729D70C}"/>
  <tableColumns count="8">
    <tableColumn id="1" xr3:uid="{E85CFF7B-3219-406E-8A21-1BD36993B942}" name="Hoogte lek ten opzichte van vloer H (onderkant tankcontainer)" dataDxfId="5"/>
    <tableColumn id="2" xr3:uid="{6D398133-0A1D-454E-9284-EF7BA97DD524}" name="Bovenkant tankcontainer Hb" dataDxfId="4">
      <calculatedColumnFormula>Table13[[#This Row],[Hoogte lek ten opzichte van vloer H (onderkant tankcontainer)]]+2.5</calculatedColumnFormula>
    </tableColumn>
    <tableColumn id="4" xr3:uid="{92B73C71-352B-4521-A5F8-EC672678212F}" name="Horizontale afstand vloeistofstraal (zonder wrijving)" dataDxfId="3">
      <calculatedColumnFormula>2*(A13*2.5)^0.5</calculatedColumnFormula>
    </tableColumn>
    <tableColumn id="6" xr3:uid="{79E2378B-C169-4710-A721-55CF016AB235}" name="Horizontale afstand vloeistofstraal, met correctiefactor 0,62" dataDxfId="2">
      <calculatedColumnFormula>C13*0.62</calculatedColumnFormula>
    </tableColumn>
    <tableColumn id="3" xr3:uid="{67E8FEA5-E019-4ADC-8931-A9BCEBF85119}" name="Rekenregel A minimumafstand: helft hoogte bovenkant houder (Hb/2)" dataDxfId="1">
      <calculatedColumnFormula>Table13[[#This Row],[Bovenkant tankcontainer Hb]]/2</calculatedColumnFormula>
    </tableColumn>
    <tableColumn id="10" xr3:uid="{24B5C327-7DCF-4F1C-849B-29AD31DBAE3B}" name="Rekenregel B minimumafstand: hoogte onderkant houder/3 + eigen hoogte houder (Ho/3 + h)" dataDxfId="0">
      <calculatedColumnFormula>2.5+Table13[[#This Row],[Hoogte lek ten opzichte van vloer H (onderkant tankcontainer)]]/3</calculatedColumnFormula>
    </tableColumn>
    <tableColumn id="8" xr3:uid="{0DD0C773-61F5-40CF-BAB7-7252DE63409D}" name="Horizontale afstand bij lek op hoogte H, uit een op vloer geplaatste, 8 meter hoge houder"/>
    <tableColumn id="9" xr3:uid="{E643227E-AE11-43BC-AE60-2970D39CA0D5}" name="Horizontale afstand bij lek  op hoogte H, uit een op vloer geplaatste, 8 meter hoge houder, met correctiefactor 0,6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610B-824A-44A8-9CA5-DAAE25A99BFE}">
  <sheetPr>
    <tabColor rgb="FF92D050"/>
  </sheetPr>
  <dimension ref="A1:M54"/>
  <sheetViews>
    <sheetView zoomScale="90" zoomScaleNormal="90" workbookViewId="0">
      <selection activeCell="A31" sqref="A31"/>
    </sheetView>
  </sheetViews>
  <sheetFormatPr defaultRowHeight="15" x14ac:dyDescent="0.25"/>
  <cols>
    <col min="1" max="1" width="27.85546875" customWidth="1"/>
    <col min="2" max="2" width="12.42578125" customWidth="1"/>
    <col min="3" max="3" width="22.140625" style="2" bestFit="1" customWidth="1"/>
    <col min="4" max="4" width="25.140625" style="2" customWidth="1"/>
    <col min="5" max="5" width="28.7109375" style="2" customWidth="1"/>
    <col min="6" max="6" width="16.7109375" bestFit="1" customWidth="1"/>
    <col min="7" max="7" width="22.28515625" customWidth="1"/>
    <col min="8" max="8" width="34.28515625" customWidth="1"/>
    <col min="9" max="9" width="32" customWidth="1"/>
    <col min="10" max="10" width="39.28515625" style="3" customWidth="1"/>
    <col min="11" max="11" width="32.7109375" customWidth="1"/>
    <col min="12" max="13" width="27.42578125" customWidth="1"/>
  </cols>
  <sheetData>
    <row r="1" spans="1:10" s="63" customFormat="1" ht="31.5" x14ac:dyDescent="0.25">
      <c r="A1" s="78" t="s">
        <v>44</v>
      </c>
      <c r="B1"/>
      <c r="J1" s="64"/>
    </row>
    <row r="2" spans="1:10" ht="15.75" x14ac:dyDescent="0.25">
      <c r="A2" s="65" t="s">
        <v>36</v>
      </c>
      <c r="B2" s="131">
        <v>200</v>
      </c>
      <c r="C2"/>
      <c r="D2"/>
      <c r="E2"/>
      <c r="J2"/>
    </row>
    <row r="3" spans="1:10" ht="15.75" x14ac:dyDescent="0.25">
      <c r="A3" s="65" t="s">
        <v>38</v>
      </c>
      <c r="B3" s="130">
        <v>5</v>
      </c>
      <c r="C3"/>
      <c r="D3"/>
      <c r="E3"/>
      <c r="J3"/>
    </row>
    <row r="4" spans="1:10" ht="15.75" x14ac:dyDescent="0.25">
      <c r="A4" s="65" t="s">
        <v>45</v>
      </c>
      <c r="B4" s="130">
        <v>1.5</v>
      </c>
      <c r="C4"/>
      <c r="D4"/>
      <c r="E4"/>
      <c r="J4"/>
    </row>
    <row r="5" spans="1:10" x14ac:dyDescent="0.25">
      <c r="C5"/>
      <c r="D5"/>
      <c r="E5"/>
      <c r="J5"/>
    </row>
    <row r="6" spans="1:10" x14ac:dyDescent="0.25">
      <c r="C6"/>
      <c r="D6"/>
      <c r="E6"/>
      <c r="J6"/>
    </row>
    <row r="7" spans="1:10" x14ac:dyDescent="0.25">
      <c r="C7"/>
      <c r="D7"/>
      <c r="E7"/>
      <c r="J7"/>
    </row>
    <row r="8" spans="1:10" x14ac:dyDescent="0.25">
      <c r="C8"/>
      <c r="D8"/>
      <c r="E8"/>
      <c r="J8"/>
    </row>
    <row r="9" spans="1:10" x14ac:dyDescent="0.25">
      <c r="C9"/>
      <c r="D9"/>
      <c r="E9"/>
      <c r="J9"/>
    </row>
    <row r="10" spans="1:10" x14ac:dyDescent="0.25">
      <c r="C10"/>
      <c r="D10"/>
      <c r="E10"/>
      <c r="J10"/>
    </row>
    <row r="11" spans="1:10" x14ac:dyDescent="0.25">
      <c r="C11"/>
      <c r="D11"/>
      <c r="E11"/>
      <c r="J11"/>
    </row>
    <row r="12" spans="1:10" x14ac:dyDescent="0.25">
      <c r="C12"/>
      <c r="D12"/>
      <c r="E12"/>
      <c r="J12"/>
    </row>
    <row r="13" spans="1:10" x14ac:dyDescent="0.25">
      <c r="C13"/>
      <c r="D13"/>
      <c r="E13"/>
      <c r="J13"/>
    </row>
    <row r="14" spans="1:10" x14ac:dyDescent="0.25">
      <c r="C14"/>
      <c r="D14"/>
      <c r="E14"/>
      <c r="J14"/>
    </row>
    <row r="15" spans="1:10" x14ac:dyDescent="0.25">
      <c r="C15"/>
      <c r="D15"/>
      <c r="E15"/>
      <c r="J15"/>
    </row>
    <row r="16" spans="1:10" x14ac:dyDescent="0.25">
      <c r="C16"/>
      <c r="D16"/>
      <c r="E16"/>
      <c r="J16"/>
    </row>
    <row r="17" spans="3:10" x14ac:dyDescent="0.25">
      <c r="C17"/>
      <c r="D17"/>
      <c r="E17"/>
      <c r="J17"/>
    </row>
    <row r="18" spans="3:10" x14ac:dyDescent="0.25">
      <c r="C18"/>
      <c r="D18"/>
      <c r="E18"/>
      <c r="J18"/>
    </row>
    <row r="19" spans="3:10" x14ac:dyDescent="0.25">
      <c r="C19"/>
      <c r="D19"/>
      <c r="E19"/>
      <c r="J19"/>
    </row>
    <row r="20" spans="3:10" x14ac:dyDescent="0.25">
      <c r="C20"/>
      <c r="D20"/>
      <c r="E20"/>
      <c r="J20"/>
    </row>
    <row r="21" spans="3:10" x14ac:dyDescent="0.25">
      <c r="C21"/>
      <c r="D21"/>
      <c r="E21"/>
      <c r="J21"/>
    </row>
    <row r="22" spans="3:10" x14ac:dyDescent="0.25">
      <c r="C22"/>
      <c r="D22"/>
      <c r="E22"/>
      <c r="J22"/>
    </row>
    <row r="23" spans="3:10" x14ac:dyDescent="0.25">
      <c r="C23"/>
      <c r="D23"/>
      <c r="E23"/>
      <c r="J23"/>
    </row>
    <row r="24" spans="3:10" x14ac:dyDescent="0.25">
      <c r="C24"/>
      <c r="D24"/>
      <c r="E24"/>
      <c r="J24"/>
    </row>
    <row r="25" spans="3:10" x14ac:dyDescent="0.25">
      <c r="C25"/>
      <c r="D25"/>
      <c r="E25"/>
      <c r="J25"/>
    </row>
    <row r="26" spans="3:10" x14ac:dyDescent="0.25">
      <c r="C26"/>
      <c r="D26"/>
      <c r="E26"/>
      <c r="J26"/>
    </row>
    <row r="27" spans="3:10" x14ac:dyDescent="0.25">
      <c r="C27"/>
      <c r="D27"/>
      <c r="E27"/>
      <c r="J27"/>
    </row>
    <row r="28" spans="3:10" x14ac:dyDescent="0.25">
      <c r="C28"/>
      <c r="D28"/>
      <c r="E28"/>
      <c r="J28"/>
    </row>
    <row r="29" spans="3:10" x14ac:dyDescent="0.25">
      <c r="C29"/>
      <c r="D29"/>
      <c r="E29"/>
      <c r="J29"/>
    </row>
    <row r="30" spans="3:10" x14ac:dyDescent="0.25">
      <c r="C30"/>
      <c r="D30"/>
      <c r="E30"/>
      <c r="J30"/>
    </row>
    <row r="31" spans="3:10" x14ac:dyDescent="0.25">
      <c r="C31"/>
      <c r="D31"/>
      <c r="E31"/>
      <c r="J31"/>
    </row>
    <row r="32" spans="3:10" x14ac:dyDescent="0.25">
      <c r="C32"/>
      <c r="D32"/>
      <c r="E32"/>
      <c r="J32"/>
    </row>
    <row r="33" spans="1:13" x14ac:dyDescent="0.25">
      <c r="C33"/>
      <c r="D33"/>
      <c r="E33"/>
      <c r="J33"/>
    </row>
    <row r="34" spans="1:13" x14ac:dyDescent="0.25">
      <c r="C34"/>
      <c r="D34"/>
      <c r="E34"/>
      <c r="J34"/>
    </row>
    <row r="35" spans="1:13" x14ac:dyDescent="0.25">
      <c r="C35"/>
      <c r="D35"/>
      <c r="E35"/>
      <c r="J35"/>
    </row>
    <row r="36" spans="1:13" x14ac:dyDescent="0.25">
      <c r="C36"/>
      <c r="D36"/>
      <c r="E36"/>
      <c r="J36"/>
    </row>
    <row r="37" spans="1:13" x14ac:dyDescent="0.25">
      <c r="C37"/>
      <c r="D37"/>
      <c r="E37"/>
      <c r="J37"/>
    </row>
    <row r="38" spans="1:13" ht="15.75" x14ac:dyDescent="0.25">
      <c r="A38" s="129" t="s">
        <v>80</v>
      </c>
      <c r="C38"/>
      <c r="D38"/>
      <c r="E38"/>
      <c r="J38"/>
    </row>
    <row r="39" spans="1:13" ht="15.75" x14ac:dyDescent="0.25">
      <c r="A39" s="65" t="s">
        <v>39</v>
      </c>
      <c r="B39" s="66">
        <f>SQRT(B2/(PI()*B3))</f>
        <v>3.5682482323055424</v>
      </c>
      <c r="C39"/>
      <c r="D39"/>
      <c r="E39"/>
      <c r="J39"/>
    </row>
    <row r="40" spans="1:13" x14ac:dyDescent="0.25">
      <c r="C40"/>
      <c r="D40"/>
      <c r="E40"/>
      <c r="J40"/>
    </row>
    <row r="41" spans="1:13" s="62" customFormat="1" ht="57.75" customHeight="1" x14ac:dyDescent="0.25">
      <c r="A41" s="80" t="s">
        <v>31</v>
      </c>
      <c r="B41" s="77" t="s">
        <v>48</v>
      </c>
      <c r="C41" s="77" t="s">
        <v>49</v>
      </c>
      <c r="D41" s="77" t="s">
        <v>50</v>
      </c>
      <c r="E41" s="77" t="s">
        <v>35</v>
      </c>
      <c r="F41" s="77" t="s">
        <v>34</v>
      </c>
      <c r="G41" s="77" t="s">
        <v>32</v>
      </c>
      <c r="H41" s="72" t="s">
        <v>33</v>
      </c>
      <c r="I41" s="77" t="s">
        <v>53</v>
      </c>
      <c r="J41" s="77" t="s">
        <v>40</v>
      </c>
      <c r="K41" s="79" t="s">
        <v>54</v>
      </c>
      <c r="L41" s="77" t="s">
        <v>51</v>
      </c>
      <c r="M41" s="77" t="s">
        <v>52</v>
      </c>
    </row>
    <row r="42" spans="1:13" x14ac:dyDescent="0.25">
      <c r="A42" s="81">
        <v>1</v>
      </c>
      <c r="B42" s="132">
        <f t="shared" ref="B42:B53" si="0">$A42*$B$2+($A42-1)*$B$4/$B$3*$B$2</f>
        <v>200</v>
      </c>
      <c r="C42" s="132">
        <f t="shared" ref="C42:C53" si="1">0.5*$A42*$B$2+($A42-1)*$B$4/$B$3*$B$2</f>
        <v>100</v>
      </c>
      <c r="D42" s="132">
        <f t="shared" ref="D42:D53" si="2">$A$42*$B$2+($A42-1)*0.25*$B$2+($A42-1)*$B$4/$B$3*$B$2</f>
        <v>200</v>
      </c>
      <c r="E42" s="133">
        <f t="shared" ref="E42:E53" si="3">$A$42*$B$2+($A42-1)*$B$4/$B$3*$B$2</f>
        <v>200</v>
      </c>
      <c r="F42" s="132">
        <f t="shared" ref="F42:F53" si="4">A42*$B$2</f>
        <v>200</v>
      </c>
      <c r="G42" s="132">
        <f t="shared" ref="G42:G53" si="5">0.5*A42*$B$2</f>
        <v>100</v>
      </c>
      <c r="H42" s="134">
        <f t="shared" ref="H42:H53" si="6">$B$2+0.25*($A42-1)*$B$2</f>
        <v>200</v>
      </c>
      <c r="I42" s="132">
        <f t="shared" ref="I42:I53" si="7">$A$42*$B$2+($A42-1)*$B$4/$B$3*$B$2+($A42-1)*4*60*0.002*(2*PI()*$B$39+2*PI()*$B$39*$B$39)</f>
        <v>200</v>
      </c>
      <c r="J42" s="132">
        <f t="shared" ref="J42:J53" si="8">($A$42*$B$2+($A42-1)*$B$4/$B$3*$B$2)/(1-60*0.0065/$B$4)</f>
        <v>270.27027027027026</v>
      </c>
      <c r="K42" s="135">
        <f t="shared" ref="K42:K53" si="9">J42+I42-E42</f>
        <v>270.27027027027026</v>
      </c>
      <c r="L42" s="132">
        <f t="shared" ref="L42:L53" si="10">$A$42*1.1*$B$2+($A42-1)*$B$4/$B$3*$B$2</f>
        <v>220.00000000000003</v>
      </c>
      <c r="M42" s="132">
        <f t="shared" ref="M42:M53" si="11">($B$2+($A42-1)*($B$4)/$B$3*$B$2)+(0.25*($B$2+($A42-1)*($B$4)/$B$3*$B$2)/($B$4-0.25))</f>
        <v>240</v>
      </c>
    </row>
    <row r="43" spans="1:13" x14ac:dyDescent="0.25">
      <c r="A43" s="81">
        <v>2</v>
      </c>
      <c r="B43" s="132">
        <f t="shared" si="0"/>
        <v>460</v>
      </c>
      <c r="C43" s="132">
        <f t="shared" si="1"/>
        <v>260</v>
      </c>
      <c r="D43" s="132">
        <f t="shared" si="2"/>
        <v>310</v>
      </c>
      <c r="E43" s="133">
        <f t="shared" si="3"/>
        <v>260</v>
      </c>
      <c r="F43" s="132">
        <f t="shared" si="4"/>
        <v>400</v>
      </c>
      <c r="G43" s="132">
        <f t="shared" si="5"/>
        <v>200</v>
      </c>
      <c r="H43" s="134">
        <f t="shared" si="6"/>
        <v>250</v>
      </c>
      <c r="I43" s="132">
        <f t="shared" si="7"/>
        <v>309.16158313548402</v>
      </c>
      <c r="J43" s="132">
        <f t="shared" si="8"/>
        <v>351.35135135135135</v>
      </c>
      <c r="K43" s="135">
        <f t="shared" si="9"/>
        <v>400.51293448683532</v>
      </c>
      <c r="L43" s="132">
        <f t="shared" si="10"/>
        <v>280</v>
      </c>
      <c r="M43" s="132">
        <f t="shared" si="11"/>
        <v>312</v>
      </c>
    </row>
    <row r="44" spans="1:13" x14ac:dyDescent="0.25">
      <c r="A44" s="81">
        <v>3</v>
      </c>
      <c r="B44" s="132">
        <f t="shared" si="0"/>
        <v>720</v>
      </c>
      <c r="C44" s="132">
        <f t="shared" si="1"/>
        <v>420</v>
      </c>
      <c r="D44" s="132">
        <f t="shared" si="2"/>
        <v>420</v>
      </c>
      <c r="E44" s="133">
        <f t="shared" si="3"/>
        <v>320</v>
      </c>
      <c r="F44" s="132">
        <f t="shared" si="4"/>
        <v>600</v>
      </c>
      <c r="G44" s="132">
        <f t="shared" si="5"/>
        <v>300</v>
      </c>
      <c r="H44" s="134">
        <f t="shared" si="6"/>
        <v>300</v>
      </c>
      <c r="I44" s="132">
        <f t="shared" si="7"/>
        <v>418.32316627096804</v>
      </c>
      <c r="J44" s="132">
        <f t="shared" si="8"/>
        <v>432.43243243243245</v>
      </c>
      <c r="K44" s="135">
        <f t="shared" si="9"/>
        <v>530.75559870340044</v>
      </c>
      <c r="L44" s="132">
        <f t="shared" si="10"/>
        <v>340</v>
      </c>
      <c r="M44" s="132">
        <f t="shared" si="11"/>
        <v>384</v>
      </c>
    </row>
    <row r="45" spans="1:13" x14ac:dyDescent="0.25">
      <c r="A45" s="81">
        <v>4</v>
      </c>
      <c r="B45" s="132">
        <f t="shared" si="0"/>
        <v>980</v>
      </c>
      <c r="C45" s="132">
        <f t="shared" si="1"/>
        <v>580</v>
      </c>
      <c r="D45" s="132">
        <f t="shared" si="2"/>
        <v>530</v>
      </c>
      <c r="E45" s="133">
        <f t="shared" si="3"/>
        <v>380</v>
      </c>
      <c r="F45" s="132">
        <f t="shared" si="4"/>
        <v>800</v>
      </c>
      <c r="G45" s="132">
        <f t="shared" si="5"/>
        <v>400</v>
      </c>
      <c r="H45" s="134">
        <f t="shared" si="6"/>
        <v>350</v>
      </c>
      <c r="I45" s="132">
        <f t="shared" si="7"/>
        <v>527.48474940645212</v>
      </c>
      <c r="J45" s="132">
        <f t="shared" si="8"/>
        <v>513.51351351351354</v>
      </c>
      <c r="K45" s="135">
        <f t="shared" si="9"/>
        <v>660.99826291996578</v>
      </c>
      <c r="L45" s="132">
        <f t="shared" si="10"/>
        <v>400</v>
      </c>
      <c r="M45" s="132">
        <f t="shared" si="11"/>
        <v>456</v>
      </c>
    </row>
    <row r="46" spans="1:13" x14ac:dyDescent="0.25">
      <c r="A46" s="81">
        <v>5</v>
      </c>
      <c r="B46" s="132">
        <f t="shared" si="0"/>
        <v>1240</v>
      </c>
      <c r="C46" s="132">
        <f t="shared" si="1"/>
        <v>740</v>
      </c>
      <c r="D46" s="132">
        <f t="shared" si="2"/>
        <v>640</v>
      </c>
      <c r="E46" s="133">
        <f t="shared" si="3"/>
        <v>440</v>
      </c>
      <c r="F46" s="132">
        <f t="shared" si="4"/>
        <v>1000</v>
      </c>
      <c r="G46" s="132">
        <f t="shared" si="5"/>
        <v>500</v>
      </c>
      <c r="H46" s="134">
        <f t="shared" si="6"/>
        <v>400</v>
      </c>
      <c r="I46" s="132">
        <f t="shared" si="7"/>
        <v>636.64633254193609</v>
      </c>
      <c r="J46" s="132">
        <f t="shared" si="8"/>
        <v>594.59459459459458</v>
      </c>
      <c r="K46" s="135">
        <f t="shared" si="9"/>
        <v>791.24092713653067</v>
      </c>
      <c r="L46" s="132">
        <f t="shared" si="10"/>
        <v>460</v>
      </c>
      <c r="M46" s="132">
        <f t="shared" si="11"/>
        <v>528</v>
      </c>
    </row>
    <row r="47" spans="1:13" x14ac:dyDescent="0.25">
      <c r="A47" s="81">
        <v>6</v>
      </c>
      <c r="B47" s="132">
        <f t="shared" si="0"/>
        <v>1500</v>
      </c>
      <c r="C47" s="132">
        <f t="shared" si="1"/>
        <v>900</v>
      </c>
      <c r="D47" s="132">
        <f t="shared" si="2"/>
        <v>750</v>
      </c>
      <c r="E47" s="133">
        <f t="shared" si="3"/>
        <v>500</v>
      </c>
      <c r="F47" s="132">
        <f t="shared" si="4"/>
        <v>1200</v>
      </c>
      <c r="G47" s="132">
        <f t="shared" si="5"/>
        <v>600</v>
      </c>
      <c r="H47" s="134">
        <f t="shared" si="6"/>
        <v>450</v>
      </c>
      <c r="I47" s="132">
        <f t="shared" si="7"/>
        <v>745.80791567742017</v>
      </c>
      <c r="J47" s="132">
        <f t="shared" si="8"/>
        <v>675.67567567567573</v>
      </c>
      <c r="K47" s="135">
        <f t="shared" si="9"/>
        <v>921.48359135309602</v>
      </c>
      <c r="L47" s="132">
        <f t="shared" si="10"/>
        <v>520</v>
      </c>
      <c r="M47" s="132">
        <f t="shared" si="11"/>
        <v>600</v>
      </c>
    </row>
    <row r="48" spans="1:13" x14ac:dyDescent="0.25">
      <c r="A48" s="81">
        <v>7</v>
      </c>
      <c r="B48" s="132">
        <f t="shared" si="0"/>
        <v>1760</v>
      </c>
      <c r="C48" s="132">
        <f t="shared" si="1"/>
        <v>1060</v>
      </c>
      <c r="D48" s="132">
        <f t="shared" si="2"/>
        <v>860</v>
      </c>
      <c r="E48" s="133">
        <f t="shared" si="3"/>
        <v>560</v>
      </c>
      <c r="F48" s="132">
        <f t="shared" si="4"/>
        <v>1400</v>
      </c>
      <c r="G48" s="132">
        <f t="shared" si="5"/>
        <v>700</v>
      </c>
      <c r="H48" s="134">
        <f t="shared" si="6"/>
        <v>500</v>
      </c>
      <c r="I48" s="132">
        <f t="shared" si="7"/>
        <v>854.96949881290425</v>
      </c>
      <c r="J48" s="132">
        <f t="shared" si="8"/>
        <v>756.75675675675677</v>
      </c>
      <c r="K48" s="135">
        <f t="shared" si="9"/>
        <v>1051.7262555696611</v>
      </c>
      <c r="L48" s="132">
        <f t="shared" si="10"/>
        <v>580</v>
      </c>
      <c r="M48" s="132">
        <f t="shared" si="11"/>
        <v>672</v>
      </c>
    </row>
    <row r="49" spans="1:13" x14ac:dyDescent="0.25">
      <c r="A49" s="81">
        <v>8</v>
      </c>
      <c r="B49" s="132">
        <f t="shared" si="0"/>
        <v>2020</v>
      </c>
      <c r="C49" s="132">
        <f t="shared" si="1"/>
        <v>1220</v>
      </c>
      <c r="D49" s="132">
        <f t="shared" si="2"/>
        <v>970</v>
      </c>
      <c r="E49" s="133">
        <f t="shared" si="3"/>
        <v>620</v>
      </c>
      <c r="F49" s="132">
        <f t="shared" si="4"/>
        <v>1600</v>
      </c>
      <c r="G49" s="132">
        <f t="shared" si="5"/>
        <v>800</v>
      </c>
      <c r="H49" s="134">
        <f t="shared" si="6"/>
        <v>550</v>
      </c>
      <c r="I49" s="132">
        <f t="shared" si="7"/>
        <v>964.13108194838821</v>
      </c>
      <c r="J49" s="132">
        <f t="shared" si="8"/>
        <v>837.83783783783781</v>
      </c>
      <c r="K49" s="135">
        <f t="shared" si="9"/>
        <v>1181.968919786226</v>
      </c>
      <c r="L49" s="132">
        <f t="shared" si="10"/>
        <v>640</v>
      </c>
      <c r="M49" s="132">
        <f t="shared" si="11"/>
        <v>744</v>
      </c>
    </row>
    <row r="50" spans="1:13" x14ac:dyDescent="0.25">
      <c r="A50" s="81">
        <v>9</v>
      </c>
      <c r="B50" s="132">
        <f t="shared" si="0"/>
        <v>2280</v>
      </c>
      <c r="C50" s="132">
        <f t="shared" si="1"/>
        <v>1380</v>
      </c>
      <c r="D50" s="132">
        <f t="shared" si="2"/>
        <v>1080</v>
      </c>
      <c r="E50" s="133">
        <f t="shared" si="3"/>
        <v>680</v>
      </c>
      <c r="F50" s="132">
        <f t="shared" si="4"/>
        <v>1800</v>
      </c>
      <c r="G50" s="132">
        <f t="shared" si="5"/>
        <v>900</v>
      </c>
      <c r="H50" s="134">
        <f t="shared" si="6"/>
        <v>600</v>
      </c>
      <c r="I50" s="132">
        <f t="shared" si="7"/>
        <v>1073.2926650838722</v>
      </c>
      <c r="J50" s="136">
        <f t="shared" si="8"/>
        <v>918.91891891891896</v>
      </c>
      <c r="K50" s="137">
        <f t="shared" si="9"/>
        <v>1312.2115840027911</v>
      </c>
      <c r="L50" s="132">
        <f t="shared" si="10"/>
        <v>700</v>
      </c>
      <c r="M50" s="132">
        <f t="shared" si="11"/>
        <v>816</v>
      </c>
    </row>
    <row r="51" spans="1:13" x14ac:dyDescent="0.25">
      <c r="A51" s="81">
        <v>10</v>
      </c>
      <c r="B51" s="132">
        <f t="shared" si="0"/>
        <v>2540</v>
      </c>
      <c r="C51" s="132">
        <f t="shared" si="1"/>
        <v>1540</v>
      </c>
      <c r="D51" s="132">
        <f t="shared" si="2"/>
        <v>1190</v>
      </c>
      <c r="E51" s="133">
        <f t="shared" si="3"/>
        <v>740</v>
      </c>
      <c r="F51" s="132">
        <f t="shared" si="4"/>
        <v>2000</v>
      </c>
      <c r="G51" s="132">
        <f t="shared" si="5"/>
        <v>1000</v>
      </c>
      <c r="H51" s="134">
        <f t="shared" si="6"/>
        <v>650</v>
      </c>
      <c r="I51" s="132">
        <f t="shared" si="7"/>
        <v>1182.4542482193563</v>
      </c>
      <c r="J51" s="132">
        <f t="shared" si="8"/>
        <v>1000</v>
      </c>
      <c r="K51" s="135">
        <f t="shared" si="9"/>
        <v>1442.4542482193565</v>
      </c>
      <c r="L51" s="132">
        <f t="shared" si="10"/>
        <v>760</v>
      </c>
      <c r="M51" s="132">
        <f t="shared" si="11"/>
        <v>888</v>
      </c>
    </row>
    <row r="52" spans="1:13" x14ac:dyDescent="0.25">
      <c r="A52" s="81">
        <v>11</v>
      </c>
      <c r="B52" s="132">
        <f t="shared" si="0"/>
        <v>2800</v>
      </c>
      <c r="C52" s="132">
        <f t="shared" si="1"/>
        <v>1700</v>
      </c>
      <c r="D52" s="132">
        <f t="shared" si="2"/>
        <v>1300</v>
      </c>
      <c r="E52" s="133">
        <f t="shared" si="3"/>
        <v>800</v>
      </c>
      <c r="F52" s="132">
        <f t="shared" si="4"/>
        <v>2200</v>
      </c>
      <c r="G52" s="132">
        <f t="shared" si="5"/>
        <v>1100</v>
      </c>
      <c r="H52" s="134">
        <f t="shared" si="6"/>
        <v>700</v>
      </c>
      <c r="I52" s="132">
        <f t="shared" si="7"/>
        <v>1291.6158313548403</v>
      </c>
      <c r="J52" s="132">
        <f t="shared" si="8"/>
        <v>1081.081081081081</v>
      </c>
      <c r="K52" s="135">
        <f t="shared" si="9"/>
        <v>1572.6969124359211</v>
      </c>
      <c r="L52" s="132">
        <f t="shared" si="10"/>
        <v>820</v>
      </c>
      <c r="M52" s="132">
        <f t="shared" si="11"/>
        <v>960</v>
      </c>
    </row>
    <row r="53" spans="1:13" x14ac:dyDescent="0.25">
      <c r="A53" s="82">
        <v>12</v>
      </c>
      <c r="B53" s="138">
        <f t="shared" si="0"/>
        <v>3060</v>
      </c>
      <c r="C53" s="138">
        <f t="shared" si="1"/>
        <v>1860</v>
      </c>
      <c r="D53" s="138">
        <f t="shared" si="2"/>
        <v>1410</v>
      </c>
      <c r="E53" s="139">
        <f t="shared" si="3"/>
        <v>860</v>
      </c>
      <c r="F53" s="138">
        <f t="shared" si="4"/>
        <v>2400</v>
      </c>
      <c r="G53" s="138">
        <f t="shared" si="5"/>
        <v>1200</v>
      </c>
      <c r="H53" s="140">
        <f t="shared" si="6"/>
        <v>750</v>
      </c>
      <c r="I53" s="138">
        <f t="shared" si="7"/>
        <v>1400.7774144903244</v>
      </c>
      <c r="J53" s="138">
        <f t="shared" si="8"/>
        <v>1162.1621621621621</v>
      </c>
      <c r="K53" s="141">
        <f t="shared" si="9"/>
        <v>1702.9395766524867</v>
      </c>
      <c r="L53" s="138">
        <f t="shared" si="10"/>
        <v>880</v>
      </c>
      <c r="M53" s="138">
        <f t="shared" si="11"/>
        <v>1032</v>
      </c>
    </row>
    <row r="54" spans="1:13" x14ac:dyDescent="0.25">
      <c r="E54"/>
      <c r="F54" s="2"/>
    </row>
  </sheetData>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648A0-6A35-4B12-9A46-CA319E0CE593}">
  <sheetPr>
    <tabColor theme="8"/>
  </sheetPr>
  <dimension ref="A1:H28"/>
  <sheetViews>
    <sheetView zoomScale="110" zoomScaleNormal="110" workbookViewId="0">
      <selection activeCell="G8" sqref="G8"/>
    </sheetView>
  </sheetViews>
  <sheetFormatPr defaultRowHeight="15" x14ac:dyDescent="0.25"/>
  <cols>
    <col min="1" max="1" width="29.85546875" customWidth="1"/>
    <col min="2" max="2" width="12.85546875" bestFit="1" customWidth="1"/>
    <col min="3" max="3" width="18.7109375" customWidth="1"/>
    <col min="4" max="4" width="22.28515625" customWidth="1"/>
    <col min="5" max="8" width="25.7109375" customWidth="1"/>
    <col min="9" max="10" width="27.140625" customWidth="1"/>
  </cols>
  <sheetData>
    <row r="1" spans="1:8" ht="16.5" thickBot="1" x14ac:dyDescent="0.3">
      <c r="A1" s="176" t="s">
        <v>82</v>
      </c>
      <c r="B1" s="160"/>
    </row>
    <row r="2" spans="1:8" ht="15.75" thickBot="1" x14ac:dyDescent="0.3">
      <c r="A2" s="167" t="s">
        <v>103</v>
      </c>
      <c r="B2" s="168"/>
    </row>
    <row r="3" spans="1:8" ht="30" x14ac:dyDescent="0.25">
      <c r="A3" s="166" t="s">
        <v>106</v>
      </c>
      <c r="B3" s="160" t="s">
        <v>91</v>
      </c>
    </row>
    <row r="4" spans="1:8" ht="30" x14ac:dyDescent="0.25">
      <c r="A4" s="161" t="s">
        <v>92</v>
      </c>
      <c r="B4" s="162" t="s">
        <v>93</v>
      </c>
    </row>
    <row r="5" spans="1:8" s="2" customFormat="1" ht="30" x14ac:dyDescent="0.25">
      <c r="A5" s="161" t="s">
        <v>104</v>
      </c>
      <c r="B5" s="162" t="s">
        <v>105</v>
      </c>
    </row>
    <row r="6" spans="1:8" ht="30" x14ac:dyDescent="0.25">
      <c r="A6" s="161" t="s">
        <v>107</v>
      </c>
      <c r="B6" s="162" t="s">
        <v>89</v>
      </c>
    </row>
    <row r="7" spans="1:8" ht="15.75" thickBot="1" x14ac:dyDescent="0.3">
      <c r="A7" s="163" t="s">
        <v>94</v>
      </c>
      <c r="B7" s="164" t="s">
        <v>95</v>
      </c>
    </row>
    <row r="8" spans="1:8" ht="30" x14ac:dyDescent="0.25">
      <c r="A8" s="161" t="s">
        <v>86</v>
      </c>
      <c r="B8" s="162" t="s">
        <v>83</v>
      </c>
    </row>
    <row r="9" spans="1:8" ht="30" x14ac:dyDescent="0.25">
      <c r="A9" s="161" t="s">
        <v>98</v>
      </c>
      <c r="B9" s="162" t="s">
        <v>84</v>
      </c>
    </row>
    <row r="10" spans="1:8" x14ac:dyDescent="0.25">
      <c r="A10" s="161" t="s">
        <v>87</v>
      </c>
      <c r="B10" s="162" t="s">
        <v>85</v>
      </c>
    </row>
    <row r="11" spans="1:8" ht="45.75" thickBot="1" x14ac:dyDescent="0.3">
      <c r="A11" s="163" t="s">
        <v>90</v>
      </c>
      <c r="B11" s="164" t="s">
        <v>88</v>
      </c>
    </row>
    <row r="12" spans="1:8" s="62" customFormat="1" ht="90" x14ac:dyDescent="0.25">
      <c r="A12" s="62" t="s">
        <v>96</v>
      </c>
      <c r="B12" s="62" t="s">
        <v>97</v>
      </c>
      <c r="C12" s="62" t="s">
        <v>100</v>
      </c>
      <c r="D12" s="62" t="s">
        <v>99</v>
      </c>
      <c r="E12" s="62" t="s">
        <v>116</v>
      </c>
      <c r="F12" s="62" t="s">
        <v>117</v>
      </c>
      <c r="G12" s="62" t="s">
        <v>101</v>
      </c>
      <c r="H12" s="62" t="s">
        <v>102</v>
      </c>
    </row>
    <row r="13" spans="1:8" x14ac:dyDescent="0.25">
      <c r="A13" s="62">
        <v>0</v>
      </c>
      <c r="B13" s="62">
        <v>1</v>
      </c>
      <c r="C13" s="158">
        <f t="shared" ref="C13:C28" si="0">2*(A13)^0.5</f>
        <v>0</v>
      </c>
      <c r="D13" s="158">
        <f t="shared" ref="D13:D23" si="1">C13*0.62</f>
        <v>0</v>
      </c>
      <c r="E13">
        <f t="shared" ref="E13:E28" si="2">(A13+1)/2</f>
        <v>0.5</v>
      </c>
      <c r="F13" s="159">
        <f>1+Table1[[#This Row],[Hoogte lek ten opzichte van vloer H (onderkant IBC)]]/3</f>
        <v>1</v>
      </c>
      <c r="G13" s="159">
        <f t="shared" ref="G13:G21" si="3">2*(A13)^0.5*(8-A13)^0.5</f>
        <v>0</v>
      </c>
      <c r="H13" s="159">
        <f>0.62*G13</f>
        <v>0</v>
      </c>
    </row>
    <row r="14" spans="1:8" x14ac:dyDescent="0.25">
      <c r="A14" s="62">
        <v>1</v>
      </c>
      <c r="B14" s="62">
        <v>2</v>
      </c>
      <c r="C14" s="158">
        <f t="shared" si="0"/>
        <v>2</v>
      </c>
      <c r="D14" s="158">
        <f t="shared" si="1"/>
        <v>1.24</v>
      </c>
      <c r="E14" s="172">
        <f t="shared" si="2"/>
        <v>1</v>
      </c>
      <c r="F14" s="175">
        <f>1+Table1[[#This Row],[Hoogte lek ten opzichte van vloer H (onderkant IBC)]]/3</f>
        <v>1.3333333333333333</v>
      </c>
      <c r="G14" s="159">
        <f t="shared" si="3"/>
        <v>5.2915026221291814</v>
      </c>
      <c r="H14" s="159">
        <f t="shared" ref="H14:H21" si="4">0.62*G14</f>
        <v>3.2807316257200925</v>
      </c>
    </row>
    <row r="15" spans="1:8" x14ac:dyDescent="0.25">
      <c r="A15" s="62">
        <v>2</v>
      </c>
      <c r="B15" s="62">
        <v>3</v>
      </c>
      <c r="C15" s="158">
        <f t="shared" si="0"/>
        <v>2.8284271247461903</v>
      </c>
      <c r="D15" s="158">
        <f t="shared" si="1"/>
        <v>1.7536248173426379</v>
      </c>
      <c r="E15" s="172">
        <f t="shared" si="2"/>
        <v>1.5</v>
      </c>
      <c r="F15" s="157">
        <f>1+Table1[[#This Row],[Hoogte lek ten opzichte van vloer H (onderkant IBC)]]/3</f>
        <v>1.6666666666666665</v>
      </c>
      <c r="G15" s="159">
        <f t="shared" si="3"/>
        <v>6.9282032302755088</v>
      </c>
      <c r="H15" s="159">
        <f t="shared" si="4"/>
        <v>4.295486002770815</v>
      </c>
    </row>
    <row r="16" spans="1:8" x14ac:dyDescent="0.25">
      <c r="A16" s="62">
        <v>3</v>
      </c>
      <c r="B16" s="62">
        <v>4</v>
      </c>
      <c r="C16" s="158">
        <f t="shared" si="0"/>
        <v>3.4641016151377544</v>
      </c>
      <c r="D16" s="158">
        <f t="shared" si="1"/>
        <v>2.1477430013854075</v>
      </c>
      <c r="E16" s="172">
        <f t="shared" si="2"/>
        <v>2</v>
      </c>
      <c r="F16" s="157">
        <f>1+Table1[[#This Row],[Hoogte lek ten opzichte van vloer H (onderkant IBC)]]/3</f>
        <v>2</v>
      </c>
      <c r="G16" s="159">
        <f t="shared" si="3"/>
        <v>7.745966692414834</v>
      </c>
      <c r="H16" s="159">
        <f t="shared" si="4"/>
        <v>4.8024993492971975</v>
      </c>
    </row>
    <row r="17" spans="1:8" x14ac:dyDescent="0.25">
      <c r="A17" s="62">
        <v>4</v>
      </c>
      <c r="B17" s="62">
        <v>5</v>
      </c>
      <c r="C17" s="158">
        <f t="shared" si="0"/>
        <v>4</v>
      </c>
      <c r="D17" s="158">
        <f t="shared" si="1"/>
        <v>2.48</v>
      </c>
      <c r="E17" s="173">
        <f t="shared" si="2"/>
        <v>2.5</v>
      </c>
      <c r="F17" s="157">
        <f>1+Table1[[#This Row],[Hoogte lek ten opzichte van vloer H (onderkant IBC)]]/3</f>
        <v>2.333333333333333</v>
      </c>
      <c r="G17" s="159">
        <f t="shared" si="3"/>
        <v>8</v>
      </c>
      <c r="H17" s="159">
        <f t="shared" si="4"/>
        <v>4.96</v>
      </c>
    </row>
    <row r="18" spans="1:8" x14ac:dyDescent="0.25">
      <c r="A18" s="62">
        <v>5</v>
      </c>
      <c r="B18" s="62">
        <v>6</v>
      </c>
      <c r="C18" s="158">
        <f t="shared" si="0"/>
        <v>4.4721359549995796</v>
      </c>
      <c r="D18" s="158">
        <f t="shared" si="1"/>
        <v>2.7727242920997393</v>
      </c>
      <c r="E18" s="173">
        <f t="shared" si="2"/>
        <v>3</v>
      </c>
      <c r="F18" s="157">
        <f>1+Table1[[#This Row],[Hoogte lek ten opzichte van vloer H (onderkant IBC)]]/3</f>
        <v>2.666666666666667</v>
      </c>
      <c r="G18" s="159">
        <f t="shared" si="3"/>
        <v>7.745966692414834</v>
      </c>
      <c r="H18" s="159">
        <f t="shared" si="4"/>
        <v>4.8024993492971975</v>
      </c>
    </row>
    <row r="19" spans="1:8" x14ac:dyDescent="0.25">
      <c r="A19" s="62">
        <v>6</v>
      </c>
      <c r="B19" s="62">
        <v>7</v>
      </c>
      <c r="C19" s="158">
        <f t="shared" si="0"/>
        <v>4.8989794855663558</v>
      </c>
      <c r="D19" s="158">
        <f t="shared" si="1"/>
        <v>3.0373672810511407</v>
      </c>
      <c r="E19" s="173">
        <f t="shared" si="2"/>
        <v>3.5</v>
      </c>
      <c r="F19" s="157">
        <f>1+Table1[[#This Row],[Hoogte lek ten opzichte van vloer H (onderkant IBC)]]/3</f>
        <v>3</v>
      </c>
      <c r="G19" s="159">
        <f t="shared" si="3"/>
        <v>6.9282032302755088</v>
      </c>
      <c r="H19" s="159">
        <f t="shared" si="4"/>
        <v>4.295486002770815</v>
      </c>
    </row>
    <row r="20" spans="1:8" x14ac:dyDescent="0.25">
      <c r="A20" s="62">
        <v>7</v>
      </c>
      <c r="B20" s="62">
        <v>8</v>
      </c>
      <c r="C20" s="158">
        <f t="shared" si="0"/>
        <v>5.2915026221291814</v>
      </c>
      <c r="D20" s="158">
        <f t="shared" si="1"/>
        <v>3.2807316257200925</v>
      </c>
      <c r="E20" s="173">
        <f t="shared" si="2"/>
        <v>4</v>
      </c>
      <c r="F20" s="175">
        <f>1+Table1[[#This Row],[Hoogte lek ten opzichte van vloer H (onderkant IBC)]]/3</f>
        <v>3.3333333333333335</v>
      </c>
      <c r="G20" s="159">
        <f t="shared" si="3"/>
        <v>5.2915026221291814</v>
      </c>
      <c r="H20" s="159">
        <f t="shared" si="4"/>
        <v>3.2807316257200925</v>
      </c>
    </row>
    <row r="21" spans="1:8" x14ac:dyDescent="0.25">
      <c r="A21" s="62">
        <v>8</v>
      </c>
      <c r="B21" s="62">
        <v>9</v>
      </c>
      <c r="C21" s="158">
        <f t="shared" si="0"/>
        <v>5.6568542494923806</v>
      </c>
      <c r="D21" s="158">
        <f t="shared" si="1"/>
        <v>3.5072496346852757</v>
      </c>
      <c r="E21" s="173">
        <f t="shared" si="2"/>
        <v>4.5</v>
      </c>
      <c r="F21" s="175">
        <f>1+Table1[[#This Row],[Hoogte lek ten opzichte van vloer H (onderkant IBC)]]/3</f>
        <v>3.6666666666666665</v>
      </c>
      <c r="G21" s="159">
        <f t="shared" si="3"/>
        <v>0</v>
      </c>
      <c r="H21" s="159">
        <f t="shared" si="4"/>
        <v>0</v>
      </c>
    </row>
    <row r="22" spans="1:8" x14ac:dyDescent="0.25">
      <c r="A22" s="62">
        <v>9</v>
      </c>
      <c r="B22" s="62">
        <v>10</v>
      </c>
      <c r="C22" s="158">
        <f t="shared" si="0"/>
        <v>6</v>
      </c>
      <c r="D22" s="158">
        <f t="shared" si="1"/>
        <v>3.7199999999999998</v>
      </c>
      <c r="E22" s="173">
        <f t="shared" si="2"/>
        <v>5</v>
      </c>
      <c r="F22" s="175">
        <f>1+Table1[[#This Row],[Hoogte lek ten opzichte van vloer H (onderkant IBC)]]/3</f>
        <v>4</v>
      </c>
      <c r="G22" s="165"/>
      <c r="H22" s="165"/>
    </row>
    <row r="23" spans="1:8" x14ac:dyDescent="0.25">
      <c r="A23" s="62">
        <v>10</v>
      </c>
      <c r="B23" s="62">
        <v>11</v>
      </c>
      <c r="C23" s="158">
        <f t="shared" si="0"/>
        <v>6.324555320336759</v>
      </c>
      <c r="D23" s="158">
        <f t="shared" si="1"/>
        <v>3.9212242986087906</v>
      </c>
      <c r="E23" s="173">
        <f t="shared" si="2"/>
        <v>5.5</v>
      </c>
      <c r="F23" s="175">
        <f>1+Table1[[#This Row],[Hoogte lek ten opzichte van vloer H (onderkant IBC)]]/3</f>
        <v>4.3333333333333339</v>
      </c>
      <c r="G23" s="165"/>
      <c r="H23" s="165"/>
    </row>
    <row r="24" spans="1:8" x14ac:dyDescent="0.25">
      <c r="A24" s="62">
        <v>11</v>
      </c>
      <c r="B24" s="62">
        <v>12</v>
      </c>
      <c r="C24" s="158">
        <f t="shared" si="0"/>
        <v>6.6332495807107996</v>
      </c>
      <c r="D24" s="158">
        <f t="shared" ref="D24:D27" si="5">C24*0.62</f>
        <v>4.112614740040696</v>
      </c>
      <c r="E24" s="173">
        <f t="shared" si="2"/>
        <v>6</v>
      </c>
      <c r="F24" s="175">
        <f>1+Table1[[#This Row],[Hoogte lek ten opzichte van vloer H (onderkant IBC)]]/3</f>
        <v>4.6666666666666661</v>
      </c>
      <c r="G24" s="165"/>
      <c r="H24" s="165"/>
    </row>
    <row r="25" spans="1:8" x14ac:dyDescent="0.25">
      <c r="A25" s="62">
        <v>12</v>
      </c>
      <c r="B25" s="62">
        <v>13</v>
      </c>
      <c r="C25" s="158">
        <f t="shared" si="0"/>
        <v>6.9282032302755088</v>
      </c>
      <c r="D25" s="158">
        <f t="shared" si="5"/>
        <v>4.295486002770815</v>
      </c>
      <c r="E25" s="173">
        <f t="shared" si="2"/>
        <v>6.5</v>
      </c>
      <c r="F25" s="175">
        <f>1+Table1[[#This Row],[Hoogte lek ten opzichte van vloer H (onderkant IBC)]]/3</f>
        <v>5</v>
      </c>
      <c r="G25" s="165"/>
      <c r="H25" s="165"/>
    </row>
    <row r="26" spans="1:8" x14ac:dyDescent="0.25">
      <c r="A26" s="62">
        <v>13</v>
      </c>
      <c r="B26" s="62">
        <v>14</v>
      </c>
      <c r="C26" s="158">
        <f t="shared" si="0"/>
        <v>7.2111025509279782</v>
      </c>
      <c r="D26" s="158">
        <f t="shared" si="5"/>
        <v>4.4708835815753467</v>
      </c>
      <c r="E26" s="173">
        <f t="shared" si="2"/>
        <v>7</v>
      </c>
      <c r="F26" s="175">
        <f>1+Table1[[#This Row],[Hoogte lek ten opzichte van vloer H (onderkant IBC)]]/3</f>
        <v>5.333333333333333</v>
      </c>
      <c r="G26" s="165"/>
      <c r="H26" s="165"/>
    </row>
    <row r="27" spans="1:8" x14ac:dyDescent="0.25">
      <c r="A27" s="62">
        <v>14</v>
      </c>
      <c r="B27" s="62">
        <v>15</v>
      </c>
      <c r="C27" s="158">
        <f t="shared" si="0"/>
        <v>7.4833147735478827</v>
      </c>
      <c r="D27" s="158">
        <f t="shared" si="5"/>
        <v>4.6396551595996876</v>
      </c>
      <c r="E27" s="174">
        <f t="shared" si="2"/>
        <v>7.5</v>
      </c>
      <c r="F27" s="175">
        <f>1+Table1[[#This Row],[Hoogte lek ten opzichte van vloer H (onderkant IBC)]]/3</f>
        <v>5.666666666666667</v>
      </c>
      <c r="G27" s="165"/>
      <c r="H27" s="165"/>
    </row>
    <row r="28" spans="1:8" x14ac:dyDescent="0.25">
      <c r="A28" s="62">
        <v>15</v>
      </c>
      <c r="B28" s="62">
        <v>16</v>
      </c>
      <c r="C28" s="158">
        <f t="shared" si="0"/>
        <v>7.745966692414834</v>
      </c>
      <c r="D28" s="158">
        <f t="shared" ref="D28" si="6">C28*0.62</f>
        <v>4.8024993492971975</v>
      </c>
      <c r="E28" s="174">
        <f t="shared" si="2"/>
        <v>8</v>
      </c>
      <c r="F28" s="175">
        <f>1+Table1[[#This Row],[Hoogte lek ten opzichte van vloer H (onderkant IBC)]]/3</f>
        <v>6</v>
      </c>
      <c r="G28" s="165"/>
      <c r="H28" s="165"/>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F843-B62C-4841-B1BE-1E478D129AB0}">
  <sheetPr>
    <tabColor theme="8"/>
  </sheetPr>
  <dimension ref="A1:H28"/>
  <sheetViews>
    <sheetView zoomScale="110" zoomScaleNormal="110" workbookViewId="0"/>
  </sheetViews>
  <sheetFormatPr defaultRowHeight="15" x14ac:dyDescent="0.25"/>
  <cols>
    <col min="1" max="1" width="29.85546875" style="2" customWidth="1"/>
    <col min="2" max="2" width="13.7109375" style="2" customWidth="1"/>
    <col min="3" max="3" width="18.7109375" style="2" customWidth="1"/>
    <col min="4" max="4" width="22.28515625" style="2" customWidth="1"/>
    <col min="5" max="6" width="25.7109375" style="2" customWidth="1"/>
    <col min="7" max="7" width="39.42578125" style="2" customWidth="1"/>
    <col min="8" max="8" width="24.85546875" style="2" bestFit="1" customWidth="1"/>
    <col min="9" max="10" width="27.140625" style="2" customWidth="1"/>
    <col min="11" max="16384" width="9.140625" style="2"/>
  </cols>
  <sheetData>
    <row r="1" spans="1:8" ht="16.5" thickBot="1" x14ac:dyDescent="0.3">
      <c r="A1" s="176" t="s">
        <v>108</v>
      </c>
      <c r="B1" s="160"/>
    </row>
    <row r="2" spans="1:8" ht="15.75" thickBot="1" x14ac:dyDescent="0.3">
      <c r="A2" s="167" t="s">
        <v>103</v>
      </c>
      <c r="B2" s="168"/>
    </row>
    <row r="3" spans="1:8" ht="30" x14ac:dyDescent="0.25">
      <c r="A3" s="166" t="s">
        <v>106</v>
      </c>
      <c r="B3" s="160" t="s">
        <v>111</v>
      </c>
    </row>
    <row r="4" spans="1:8" ht="30" x14ac:dyDescent="0.25">
      <c r="A4" s="161" t="s">
        <v>92</v>
      </c>
      <c r="B4" s="162" t="s">
        <v>93</v>
      </c>
    </row>
    <row r="5" spans="1:8" ht="30" x14ac:dyDescent="0.25">
      <c r="A5" s="161" t="s">
        <v>104</v>
      </c>
      <c r="B5" s="162" t="s">
        <v>105</v>
      </c>
    </row>
    <row r="6" spans="1:8" ht="30" x14ac:dyDescent="0.25">
      <c r="A6" s="161" t="s">
        <v>107</v>
      </c>
      <c r="B6" s="162" t="s">
        <v>89</v>
      </c>
    </row>
    <row r="7" spans="1:8" ht="15.75" thickBot="1" x14ac:dyDescent="0.3">
      <c r="A7" s="163" t="s">
        <v>94</v>
      </c>
      <c r="B7" s="164" t="s">
        <v>95</v>
      </c>
    </row>
    <row r="8" spans="1:8" ht="30" x14ac:dyDescent="0.25">
      <c r="A8" s="161" t="s">
        <v>86</v>
      </c>
      <c r="B8" s="162" t="s">
        <v>83</v>
      </c>
    </row>
    <row r="9" spans="1:8" ht="30" x14ac:dyDescent="0.25">
      <c r="A9" s="169" t="s">
        <v>113</v>
      </c>
      <c r="B9" s="170" t="s">
        <v>112</v>
      </c>
    </row>
    <row r="10" spans="1:8" x14ac:dyDescent="0.25">
      <c r="A10" s="161" t="s">
        <v>87</v>
      </c>
      <c r="B10" s="162" t="s">
        <v>85</v>
      </c>
    </row>
    <row r="11" spans="1:8" ht="45.75" thickBot="1" x14ac:dyDescent="0.3">
      <c r="A11" s="163" t="s">
        <v>115</v>
      </c>
      <c r="B11" s="171" t="s">
        <v>114</v>
      </c>
    </row>
    <row r="12" spans="1:8" s="62" customFormat="1" ht="90" x14ac:dyDescent="0.25">
      <c r="A12" s="62" t="s">
        <v>110</v>
      </c>
      <c r="B12" s="62" t="s">
        <v>109</v>
      </c>
      <c r="C12" s="62" t="s">
        <v>100</v>
      </c>
      <c r="D12" s="62" t="s">
        <v>99</v>
      </c>
      <c r="E12" s="62" t="s">
        <v>116</v>
      </c>
      <c r="F12" s="62" t="s">
        <v>117</v>
      </c>
      <c r="G12" s="62" t="s">
        <v>101</v>
      </c>
      <c r="H12" s="62" t="s">
        <v>102</v>
      </c>
    </row>
    <row r="13" spans="1:8" x14ac:dyDescent="0.25">
      <c r="A13" s="62">
        <v>0</v>
      </c>
      <c r="B13" s="62">
        <f>Table13[[#This Row],[Hoogte lek ten opzichte van vloer H (onderkant tankcontainer)]]+2.5</f>
        <v>2.5</v>
      </c>
      <c r="C13" s="158">
        <f t="shared" ref="C13:C28" si="0">2*(A13*2.5)^0.5</f>
        <v>0</v>
      </c>
      <c r="D13" s="158">
        <f t="shared" ref="D13:D28" si="1">C13*0.62</f>
        <v>0</v>
      </c>
      <c r="E13" s="2">
        <f>Table13[[#This Row],[Bovenkant tankcontainer Hb]]/2</f>
        <v>1.25</v>
      </c>
      <c r="F13" s="159">
        <f>2.5+Table13[[#This Row],[Hoogte lek ten opzichte van vloer H (onderkant tankcontainer)]]/3</f>
        <v>2.5</v>
      </c>
      <c r="G13" s="159">
        <f t="shared" ref="G13:G21" si="2">2*(A13)^0.5*(8-A13)^0.5</f>
        <v>0</v>
      </c>
      <c r="H13" s="159">
        <f>0.62*G13</f>
        <v>0</v>
      </c>
    </row>
    <row r="14" spans="1:8" x14ac:dyDescent="0.25">
      <c r="A14" s="62">
        <v>1</v>
      </c>
      <c r="B14" s="62">
        <f>Table13[[#This Row],[Hoogte lek ten opzichte van vloer H (onderkant tankcontainer)]]+2.5</f>
        <v>3.5</v>
      </c>
      <c r="C14" s="158">
        <f t="shared" si="0"/>
        <v>3.1622776601683795</v>
      </c>
      <c r="D14" s="158">
        <f t="shared" si="1"/>
        <v>1.9606121493043953</v>
      </c>
      <c r="E14" s="172">
        <f>Table13[[#This Row],[Bovenkant tankcontainer Hb]]/2</f>
        <v>1.75</v>
      </c>
      <c r="F14" s="175">
        <f>2.5+Table13[[#This Row],[Hoogte lek ten opzichte van vloer H (onderkant tankcontainer)]]/3</f>
        <v>2.8333333333333335</v>
      </c>
      <c r="G14" s="159">
        <f t="shared" si="2"/>
        <v>5.2915026221291814</v>
      </c>
      <c r="H14" s="159">
        <f t="shared" ref="H14:H21" si="3">0.62*G14</f>
        <v>3.2807316257200925</v>
      </c>
    </row>
    <row r="15" spans="1:8" x14ac:dyDescent="0.25">
      <c r="A15" s="62">
        <v>2</v>
      </c>
      <c r="B15" s="62">
        <f>Table13[[#This Row],[Hoogte lek ten opzichte van vloer H (onderkant tankcontainer)]]+2.5</f>
        <v>4.5</v>
      </c>
      <c r="C15" s="158">
        <f t="shared" si="0"/>
        <v>4.4721359549995796</v>
      </c>
      <c r="D15" s="158">
        <f t="shared" si="1"/>
        <v>2.7727242920997393</v>
      </c>
      <c r="E15" s="172">
        <f>Table13[[#This Row],[Bovenkant tankcontainer Hb]]/2</f>
        <v>2.25</v>
      </c>
      <c r="F15" s="175">
        <f>2.5+Table13[[#This Row],[Hoogte lek ten opzichte van vloer H (onderkant tankcontainer)]]/3</f>
        <v>3.1666666666666665</v>
      </c>
      <c r="G15" s="159">
        <f t="shared" si="2"/>
        <v>6.9282032302755088</v>
      </c>
      <c r="H15" s="159">
        <f t="shared" si="3"/>
        <v>4.295486002770815</v>
      </c>
    </row>
    <row r="16" spans="1:8" x14ac:dyDescent="0.25">
      <c r="A16" s="62">
        <v>3</v>
      </c>
      <c r="B16" s="62">
        <f>Table13[[#This Row],[Hoogte lek ten opzichte van vloer H (onderkant tankcontainer)]]+2.5</f>
        <v>5.5</v>
      </c>
      <c r="C16" s="158">
        <f t="shared" si="0"/>
        <v>5.4772255750516612</v>
      </c>
      <c r="D16" s="158">
        <f t="shared" si="1"/>
        <v>3.3958798565320301</v>
      </c>
      <c r="E16" s="172">
        <f>Table13[[#This Row],[Bovenkant tankcontainer Hb]]/2</f>
        <v>2.75</v>
      </c>
      <c r="F16" s="175">
        <f>2.5+Table13[[#This Row],[Hoogte lek ten opzichte van vloer H (onderkant tankcontainer)]]/3</f>
        <v>3.5</v>
      </c>
      <c r="G16" s="159">
        <f t="shared" si="2"/>
        <v>7.745966692414834</v>
      </c>
      <c r="H16" s="159">
        <f t="shared" si="3"/>
        <v>4.8024993492971975</v>
      </c>
    </row>
    <row r="17" spans="1:8" x14ac:dyDescent="0.25">
      <c r="A17" s="62">
        <v>4</v>
      </c>
      <c r="B17" s="62">
        <f>Table13[[#This Row],[Hoogte lek ten opzichte van vloer H (onderkant tankcontainer)]]+2.5</f>
        <v>6.5</v>
      </c>
      <c r="C17" s="158">
        <f t="shared" si="0"/>
        <v>6.324555320336759</v>
      </c>
      <c r="D17" s="158">
        <f t="shared" si="1"/>
        <v>3.9212242986087906</v>
      </c>
      <c r="E17" s="172">
        <f>Table13[[#This Row],[Bovenkant tankcontainer Hb]]/2</f>
        <v>3.25</v>
      </c>
      <c r="F17" s="157">
        <f>2.5+Table13[[#This Row],[Hoogte lek ten opzichte van vloer H (onderkant tankcontainer)]]/3</f>
        <v>3.833333333333333</v>
      </c>
      <c r="G17" s="159">
        <f t="shared" si="2"/>
        <v>8</v>
      </c>
      <c r="H17" s="159">
        <f t="shared" si="3"/>
        <v>4.96</v>
      </c>
    </row>
    <row r="18" spans="1:8" x14ac:dyDescent="0.25">
      <c r="A18" s="62">
        <v>5</v>
      </c>
      <c r="B18" s="62">
        <f>Table13[[#This Row],[Hoogte lek ten opzichte van vloer H (onderkant tankcontainer)]]+2.5</f>
        <v>7.5</v>
      </c>
      <c r="C18" s="158">
        <f t="shared" si="0"/>
        <v>7.0710678118654755</v>
      </c>
      <c r="D18" s="158">
        <f t="shared" si="1"/>
        <v>4.3840620433565949</v>
      </c>
      <c r="E18" s="172">
        <f>Table13[[#This Row],[Bovenkant tankcontainer Hb]]/2</f>
        <v>3.75</v>
      </c>
      <c r="F18" s="157">
        <f>2.5+Table13[[#This Row],[Hoogte lek ten opzichte van vloer H (onderkant tankcontainer)]]/3</f>
        <v>4.166666666666667</v>
      </c>
      <c r="G18" s="159">
        <f t="shared" si="2"/>
        <v>7.745966692414834</v>
      </c>
      <c r="H18" s="159">
        <f t="shared" si="3"/>
        <v>4.8024993492971975</v>
      </c>
    </row>
    <row r="19" spans="1:8" x14ac:dyDescent="0.25">
      <c r="A19" s="62">
        <v>6</v>
      </c>
      <c r="B19" s="62">
        <f>Table13[[#This Row],[Hoogte lek ten opzichte van vloer H (onderkant tankcontainer)]]+2.5</f>
        <v>8.5</v>
      </c>
      <c r="C19" s="158">
        <f t="shared" si="0"/>
        <v>7.745966692414834</v>
      </c>
      <c r="D19" s="158">
        <f t="shared" si="1"/>
        <v>4.8024993492971975</v>
      </c>
      <c r="E19" s="172">
        <f>Table13[[#This Row],[Bovenkant tankcontainer Hb]]/2</f>
        <v>4.25</v>
      </c>
      <c r="F19" s="157">
        <f>2.5+Table13[[#This Row],[Hoogte lek ten opzichte van vloer H (onderkant tankcontainer)]]/3</f>
        <v>4.5</v>
      </c>
      <c r="G19" s="159">
        <f t="shared" si="2"/>
        <v>6.9282032302755088</v>
      </c>
      <c r="H19" s="159">
        <f t="shared" si="3"/>
        <v>4.295486002770815</v>
      </c>
    </row>
    <row r="20" spans="1:8" x14ac:dyDescent="0.25">
      <c r="A20" s="62">
        <v>7</v>
      </c>
      <c r="B20" s="62">
        <f>Table13[[#This Row],[Hoogte lek ten opzichte van vloer H (onderkant tankcontainer)]]+2.5</f>
        <v>9.5</v>
      </c>
      <c r="C20" s="158">
        <f t="shared" si="0"/>
        <v>8.3666002653407556</v>
      </c>
      <c r="D20" s="158">
        <f t="shared" si="1"/>
        <v>5.1872921645112688</v>
      </c>
      <c r="E20" s="172">
        <f>Table13[[#This Row],[Bovenkant tankcontainer Hb]]/2</f>
        <v>4.75</v>
      </c>
      <c r="F20" s="157">
        <f>2.5+Table13[[#This Row],[Hoogte lek ten opzichte van vloer H (onderkant tankcontainer)]]/3</f>
        <v>4.8333333333333339</v>
      </c>
      <c r="G20" s="159">
        <f t="shared" si="2"/>
        <v>5.2915026221291814</v>
      </c>
      <c r="H20" s="159">
        <f t="shared" si="3"/>
        <v>3.2807316257200925</v>
      </c>
    </row>
    <row r="21" spans="1:8" x14ac:dyDescent="0.25">
      <c r="A21" s="62">
        <v>8</v>
      </c>
      <c r="B21" s="62">
        <f>Table13[[#This Row],[Hoogte lek ten opzichte van vloer H (onderkant tankcontainer)]]+2.5</f>
        <v>10.5</v>
      </c>
      <c r="C21" s="158">
        <f t="shared" si="0"/>
        <v>8.9442719099991592</v>
      </c>
      <c r="D21" s="158">
        <f t="shared" si="1"/>
        <v>5.5454485841994785</v>
      </c>
      <c r="E21" s="172">
        <f>Table13[[#This Row],[Bovenkant tankcontainer Hb]]/2</f>
        <v>5.25</v>
      </c>
      <c r="F21" s="157">
        <f>2.5+Table13[[#This Row],[Hoogte lek ten opzichte van vloer H (onderkant tankcontainer)]]/3</f>
        <v>5.1666666666666661</v>
      </c>
      <c r="G21" s="159">
        <f t="shared" si="2"/>
        <v>0</v>
      </c>
      <c r="H21" s="159">
        <f t="shared" si="3"/>
        <v>0</v>
      </c>
    </row>
    <row r="22" spans="1:8" x14ac:dyDescent="0.25">
      <c r="A22" s="62">
        <v>9</v>
      </c>
      <c r="B22" s="62">
        <f>Table13[[#This Row],[Hoogte lek ten opzichte van vloer H (onderkant tankcontainer)]]+2.5</f>
        <v>11.5</v>
      </c>
      <c r="C22" s="158">
        <f t="shared" si="0"/>
        <v>9.4868329805051381</v>
      </c>
      <c r="D22" s="158">
        <f t="shared" si="1"/>
        <v>5.8818364479131855</v>
      </c>
      <c r="E22" s="172">
        <f>Table13[[#This Row],[Bovenkant tankcontainer Hb]]/2</f>
        <v>5.75</v>
      </c>
      <c r="F22" s="157">
        <f>2.5+Table13[[#This Row],[Hoogte lek ten opzichte van vloer H (onderkant tankcontainer)]]/3</f>
        <v>5.5</v>
      </c>
      <c r="G22" s="165"/>
      <c r="H22" s="165"/>
    </row>
    <row r="23" spans="1:8" x14ac:dyDescent="0.25">
      <c r="A23" s="62">
        <v>10</v>
      </c>
      <c r="B23" s="62">
        <f>Table13[[#This Row],[Hoogte lek ten opzichte van vloer H (onderkant tankcontainer)]]+2.5</f>
        <v>12.5</v>
      </c>
      <c r="C23" s="158">
        <f t="shared" si="0"/>
        <v>10</v>
      </c>
      <c r="D23" s="158">
        <f t="shared" si="1"/>
        <v>6.2</v>
      </c>
      <c r="E23" s="173">
        <f>Table13[[#This Row],[Bovenkant tankcontainer Hb]]/2</f>
        <v>6.25</v>
      </c>
      <c r="F23" s="157">
        <f>2.5+Table13[[#This Row],[Hoogte lek ten opzichte van vloer H (onderkant tankcontainer)]]/3</f>
        <v>5.8333333333333339</v>
      </c>
      <c r="G23" s="165"/>
      <c r="H23" s="165"/>
    </row>
    <row r="24" spans="1:8" x14ac:dyDescent="0.25">
      <c r="A24" s="62">
        <v>11</v>
      </c>
      <c r="B24" s="62">
        <f>Table13[[#This Row],[Hoogte lek ten opzichte van vloer H (onderkant tankcontainer)]]+2.5</f>
        <v>13.5</v>
      </c>
      <c r="C24" s="158">
        <f t="shared" si="0"/>
        <v>10.488088481701515</v>
      </c>
      <c r="D24" s="158">
        <f t="shared" si="1"/>
        <v>6.5026148586549395</v>
      </c>
      <c r="E24" s="173">
        <f>Table13[[#This Row],[Bovenkant tankcontainer Hb]]/2</f>
        <v>6.75</v>
      </c>
      <c r="F24" s="157">
        <f>2.5+Table13[[#This Row],[Hoogte lek ten opzichte van vloer H (onderkant tankcontainer)]]/3</f>
        <v>6.1666666666666661</v>
      </c>
      <c r="G24" s="165"/>
      <c r="H24" s="165"/>
    </row>
    <row r="25" spans="1:8" x14ac:dyDescent="0.25">
      <c r="A25" s="62">
        <v>12</v>
      </c>
      <c r="B25" s="62">
        <f>Table13[[#This Row],[Hoogte lek ten opzichte van vloer H (onderkant tankcontainer)]]+2.5</f>
        <v>14.5</v>
      </c>
      <c r="C25" s="158">
        <f t="shared" si="0"/>
        <v>10.954451150103322</v>
      </c>
      <c r="D25" s="158">
        <f t="shared" si="1"/>
        <v>6.7917597130640601</v>
      </c>
      <c r="E25" s="173">
        <f>Table13[[#This Row],[Bovenkant tankcontainer Hb]]/2</f>
        <v>7.25</v>
      </c>
      <c r="F25" s="157">
        <f>2.5+Table13[[#This Row],[Hoogte lek ten opzichte van vloer H (onderkant tankcontainer)]]/3</f>
        <v>6.5</v>
      </c>
      <c r="G25" s="165"/>
      <c r="H25" s="165"/>
    </row>
    <row r="26" spans="1:8" x14ac:dyDescent="0.25">
      <c r="A26" s="62">
        <v>13</v>
      </c>
      <c r="B26" s="62">
        <f>Table13[[#This Row],[Hoogte lek ten opzichte van vloer H (onderkant tankcontainer)]]+2.5</f>
        <v>15.5</v>
      </c>
      <c r="C26" s="158">
        <f t="shared" si="0"/>
        <v>11.401754250991379</v>
      </c>
      <c r="D26" s="158">
        <f t="shared" si="1"/>
        <v>7.0690876356146548</v>
      </c>
      <c r="E26" s="173">
        <f>Table13[[#This Row],[Bovenkant tankcontainer Hb]]/2</f>
        <v>7.75</v>
      </c>
      <c r="F26" s="157">
        <f>2.5+Table13[[#This Row],[Hoogte lek ten opzichte van vloer H (onderkant tankcontainer)]]/3</f>
        <v>6.833333333333333</v>
      </c>
      <c r="G26" s="165"/>
      <c r="H26" s="165"/>
    </row>
    <row r="27" spans="1:8" x14ac:dyDescent="0.25">
      <c r="A27" s="62">
        <v>14</v>
      </c>
      <c r="B27" s="62">
        <f>Table13[[#This Row],[Hoogte lek ten opzichte van vloer H (onderkant tankcontainer)]]+2.5</f>
        <v>16.5</v>
      </c>
      <c r="C27" s="158">
        <f t="shared" si="0"/>
        <v>11.832159566199232</v>
      </c>
      <c r="D27" s="158">
        <f t="shared" si="1"/>
        <v>7.3359389310435237</v>
      </c>
      <c r="E27" s="173">
        <f>Table13[[#This Row],[Bovenkant tankcontainer Hb]]/2</f>
        <v>8.25</v>
      </c>
      <c r="F27" s="157">
        <f>2.5+Table13[[#This Row],[Hoogte lek ten opzichte van vloer H (onderkant tankcontainer)]]/3</f>
        <v>7.166666666666667</v>
      </c>
      <c r="G27" s="165"/>
      <c r="H27" s="165"/>
    </row>
    <row r="28" spans="1:8" x14ac:dyDescent="0.25">
      <c r="A28" s="62">
        <v>15</v>
      </c>
      <c r="B28" s="62">
        <f>Table13[[#This Row],[Hoogte lek ten opzichte van vloer H (onderkant tankcontainer)]]+2.5</f>
        <v>17.5</v>
      </c>
      <c r="C28" s="158">
        <f t="shared" si="0"/>
        <v>12.24744871391589</v>
      </c>
      <c r="D28" s="158">
        <f t="shared" si="1"/>
        <v>7.5934182026278521</v>
      </c>
      <c r="E28" s="173">
        <f>Table13[[#This Row],[Bovenkant tankcontainer Hb]]/2</f>
        <v>8.75</v>
      </c>
      <c r="F28" s="157">
        <f>2.5+Table13[[#This Row],[Hoogte lek ten opzichte van vloer H (onderkant tankcontainer)]]/3</f>
        <v>7.5</v>
      </c>
      <c r="G28" s="165"/>
      <c r="H28" s="165"/>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C4CD-8ACD-4B9B-AC19-1336782AAA73}">
  <sheetPr>
    <tabColor rgb="FF92D050"/>
  </sheetPr>
  <dimension ref="A1:R197"/>
  <sheetViews>
    <sheetView zoomScale="90" zoomScaleNormal="90" workbookViewId="0">
      <selection activeCell="A9" sqref="A9"/>
    </sheetView>
  </sheetViews>
  <sheetFormatPr defaultColWidth="8.85546875" defaultRowHeight="15" x14ac:dyDescent="0.25"/>
  <cols>
    <col min="1" max="1" width="23.28515625" style="2" bestFit="1" customWidth="1"/>
    <col min="2" max="2" width="14.140625" style="2" bestFit="1" customWidth="1"/>
    <col min="3" max="3" width="16.85546875" style="2" bestFit="1" customWidth="1"/>
    <col min="4" max="4" width="17" style="2" bestFit="1" customWidth="1"/>
    <col min="5" max="5" width="15" style="2" bestFit="1" customWidth="1"/>
    <col min="6" max="6" width="17.7109375" style="2" customWidth="1"/>
    <col min="7" max="7" width="19.85546875" style="2" bestFit="1" customWidth="1"/>
    <col min="8" max="8" width="20.85546875" style="2" bestFit="1" customWidth="1"/>
    <col min="9" max="9" width="19.7109375" style="3" bestFit="1" customWidth="1"/>
    <col min="10" max="10" width="18" style="2" bestFit="1" customWidth="1"/>
    <col min="11" max="11" width="21.140625" style="2" bestFit="1" customWidth="1"/>
    <col min="12" max="12" width="18" style="2" bestFit="1" customWidth="1"/>
    <col min="13" max="13" width="19.42578125" style="2" bestFit="1" customWidth="1"/>
    <col min="14" max="14" width="19.5703125" style="2" bestFit="1" customWidth="1"/>
    <col min="15" max="15" width="20.5703125" style="2" bestFit="1" customWidth="1"/>
    <col min="16" max="16" width="17.42578125" style="2" bestFit="1" customWidth="1"/>
    <col min="17" max="17" width="18.85546875" style="2" bestFit="1" customWidth="1"/>
    <col min="18" max="18" width="12" style="2" bestFit="1" customWidth="1"/>
    <col min="19" max="16384" width="8.85546875" style="2"/>
  </cols>
  <sheetData>
    <row r="1" spans="1:18" ht="15.75" x14ac:dyDescent="0.25">
      <c r="A1" s="144" t="s">
        <v>43</v>
      </c>
      <c r="B1" s="71"/>
      <c r="C1" s="71"/>
      <c r="D1" s="71"/>
      <c r="E1" s="71"/>
      <c r="F1" s="70"/>
      <c r="G1" s="70"/>
    </row>
    <row r="2" spans="1:18" ht="15.75" x14ac:dyDescent="0.25">
      <c r="A2" s="65" t="s">
        <v>36</v>
      </c>
      <c r="B2" s="131">
        <v>200</v>
      </c>
      <c r="R2"/>
    </row>
    <row r="3" spans="1:18" ht="15.75" x14ac:dyDescent="0.25">
      <c r="A3" s="65" t="s">
        <v>37</v>
      </c>
      <c r="B3" s="130">
        <v>1.5</v>
      </c>
      <c r="R3"/>
    </row>
    <row r="4" spans="1:18" s="63" customFormat="1" ht="15.75" x14ac:dyDescent="0.25">
      <c r="A4" s="65" t="s">
        <v>38</v>
      </c>
      <c r="B4" s="130">
        <v>5</v>
      </c>
      <c r="C4" s="2"/>
      <c r="R4"/>
    </row>
    <row r="5" spans="1:18" ht="15.75" hidden="1" x14ac:dyDescent="0.25">
      <c r="A5" s="65" t="s">
        <v>39</v>
      </c>
      <c r="B5" s="66">
        <f>SQRT(B2/(PI()*B4))</f>
        <v>3.5682482323055424</v>
      </c>
      <c r="R5"/>
    </row>
    <row r="6" spans="1:18" x14ac:dyDescent="0.25">
      <c r="R6"/>
    </row>
    <row r="7" spans="1:18" x14ac:dyDescent="0.25">
      <c r="R7"/>
    </row>
    <row r="8" spans="1:18" x14ac:dyDescent="0.25">
      <c r="R8"/>
    </row>
    <row r="9" spans="1:18" x14ac:dyDescent="0.25">
      <c r="R9"/>
    </row>
    <row r="10" spans="1:18" x14ac:dyDescent="0.25">
      <c r="R10"/>
    </row>
    <row r="11" spans="1:18" x14ac:dyDescent="0.25">
      <c r="R11"/>
    </row>
    <row r="12" spans="1:18" x14ac:dyDescent="0.25">
      <c r="R12"/>
    </row>
    <row r="13" spans="1:18" x14ac:dyDescent="0.25">
      <c r="R13"/>
    </row>
    <row r="14" spans="1:18" x14ac:dyDescent="0.25">
      <c r="R14"/>
    </row>
    <row r="15" spans="1:18" x14ac:dyDescent="0.25">
      <c r="R15"/>
    </row>
    <row r="16" spans="1:18" x14ac:dyDescent="0.25">
      <c r="N16"/>
      <c r="O16"/>
      <c r="P16"/>
      <c r="Q16"/>
      <c r="R16"/>
    </row>
    <row r="21" spans="9:9" x14ac:dyDescent="0.25">
      <c r="I21" s="2"/>
    </row>
    <row r="35" spans="1:13" x14ac:dyDescent="0.25">
      <c r="I35" s="2"/>
    </row>
    <row r="36" spans="1:13" x14ac:dyDescent="0.25">
      <c r="I36" s="2"/>
    </row>
    <row r="37" spans="1:13" x14ac:dyDescent="0.25">
      <c r="I37" s="2"/>
    </row>
    <row r="38" spans="1:13" ht="30" x14ac:dyDescent="0.25">
      <c r="A38" s="83" t="s">
        <v>55</v>
      </c>
      <c r="B38" s="76" t="s">
        <v>41</v>
      </c>
      <c r="C38"/>
      <c r="D38"/>
      <c r="E38"/>
      <c r="F38"/>
      <c r="G38"/>
      <c r="H38"/>
      <c r="I38"/>
      <c r="J38"/>
      <c r="K38"/>
      <c r="L38"/>
      <c r="M38"/>
    </row>
    <row r="39" spans="1:13" ht="60" x14ac:dyDescent="0.25">
      <c r="A39" s="85" t="s">
        <v>31</v>
      </c>
      <c r="B39" s="62" t="s">
        <v>48</v>
      </c>
      <c r="C39" s="62" t="s">
        <v>49</v>
      </c>
      <c r="D39" s="62" t="s">
        <v>50</v>
      </c>
      <c r="E39" s="62" t="s">
        <v>35</v>
      </c>
      <c r="F39" s="62" t="s">
        <v>33</v>
      </c>
      <c r="G39" s="62" t="s">
        <v>40</v>
      </c>
      <c r="H39" s="62" t="s">
        <v>54</v>
      </c>
      <c r="I39" s="62" t="s">
        <v>53</v>
      </c>
      <c r="J39" s="62" t="s">
        <v>32</v>
      </c>
      <c r="K39" s="62" t="s">
        <v>34</v>
      </c>
      <c r="L39" s="62" t="s">
        <v>51</v>
      </c>
      <c r="M39" s="62" t="s">
        <v>52</v>
      </c>
    </row>
    <row r="40" spans="1:13" x14ac:dyDescent="0.25">
      <c r="A40" s="84">
        <v>1</v>
      </c>
      <c r="B40" s="142">
        <v>200</v>
      </c>
      <c r="C40" s="142">
        <v>100</v>
      </c>
      <c r="D40" s="142">
        <v>200</v>
      </c>
      <c r="E40" s="142">
        <v>200</v>
      </c>
      <c r="F40" s="142">
        <v>200</v>
      </c>
      <c r="G40" s="142">
        <v>270.27027027027026</v>
      </c>
      <c r="H40" s="142">
        <v>270.27027027027026</v>
      </c>
      <c r="I40" s="142">
        <v>200</v>
      </c>
      <c r="J40" s="142">
        <v>100</v>
      </c>
      <c r="K40" s="142">
        <v>200</v>
      </c>
      <c r="L40" s="142">
        <v>220.00000000000003</v>
      </c>
      <c r="M40" s="142">
        <v>240</v>
      </c>
    </row>
    <row r="41" spans="1:13" x14ac:dyDescent="0.25">
      <c r="A41" s="84">
        <v>2</v>
      </c>
      <c r="B41" s="142">
        <v>460</v>
      </c>
      <c r="C41" s="142">
        <v>260</v>
      </c>
      <c r="D41" s="142">
        <v>310</v>
      </c>
      <c r="E41" s="142">
        <v>260</v>
      </c>
      <c r="F41" s="142">
        <v>250</v>
      </c>
      <c r="G41" s="142">
        <v>351.35135135135135</v>
      </c>
      <c r="H41" s="142">
        <v>400.51293448683532</v>
      </c>
      <c r="I41" s="142">
        <v>309.16158313548402</v>
      </c>
      <c r="J41" s="142">
        <v>200</v>
      </c>
      <c r="K41" s="142">
        <v>400</v>
      </c>
      <c r="L41" s="142">
        <v>280</v>
      </c>
      <c r="M41" s="142">
        <v>312</v>
      </c>
    </row>
    <row r="42" spans="1:13" x14ac:dyDescent="0.25">
      <c r="A42" s="84">
        <v>3</v>
      </c>
      <c r="B42" s="142">
        <v>720</v>
      </c>
      <c r="C42" s="142">
        <v>420</v>
      </c>
      <c r="D42" s="142">
        <v>420</v>
      </c>
      <c r="E42" s="142">
        <v>320</v>
      </c>
      <c r="F42" s="142">
        <v>300</v>
      </c>
      <c r="G42" s="142">
        <v>432.43243243243245</v>
      </c>
      <c r="H42" s="142">
        <v>530.75559870340044</v>
      </c>
      <c r="I42" s="142">
        <v>418.32316627096804</v>
      </c>
      <c r="J42" s="142">
        <v>300</v>
      </c>
      <c r="K42" s="142">
        <v>600</v>
      </c>
      <c r="L42" s="142">
        <v>340</v>
      </c>
      <c r="M42" s="142">
        <v>384</v>
      </c>
    </row>
    <row r="43" spans="1:13" x14ac:dyDescent="0.25">
      <c r="A43" s="84">
        <v>4</v>
      </c>
      <c r="B43" s="142">
        <v>980</v>
      </c>
      <c r="C43" s="142">
        <v>580</v>
      </c>
      <c r="D43" s="142">
        <v>530</v>
      </c>
      <c r="E43" s="142">
        <v>380</v>
      </c>
      <c r="F43" s="142">
        <v>350</v>
      </c>
      <c r="G43" s="142">
        <v>513.51351351351354</v>
      </c>
      <c r="H43" s="142">
        <v>660.99826291996578</v>
      </c>
      <c r="I43" s="142">
        <v>527.48474940645212</v>
      </c>
      <c r="J43" s="142">
        <v>400</v>
      </c>
      <c r="K43" s="142">
        <v>800</v>
      </c>
      <c r="L43" s="142">
        <v>400</v>
      </c>
      <c r="M43" s="142">
        <v>456</v>
      </c>
    </row>
    <row r="44" spans="1:13" x14ac:dyDescent="0.25">
      <c r="A44" s="84">
        <v>5</v>
      </c>
      <c r="B44" s="142">
        <v>1240</v>
      </c>
      <c r="C44" s="142">
        <v>740</v>
      </c>
      <c r="D44" s="142">
        <v>640</v>
      </c>
      <c r="E44" s="142">
        <v>440</v>
      </c>
      <c r="F44" s="142">
        <v>400</v>
      </c>
      <c r="G44" s="142">
        <v>594.59459459459458</v>
      </c>
      <c r="H44" s="142">
        <v>791.24092713653067</v>
      </c>
      <c r="I44" s="142">
        <v>636.64633254193609</v>
      </c>
      <c r="J44" s="142">
        <v>500</v>
      </c>
      <c r="K44" s="142">
        <v>1000</v>
      </c>
      <c r="L44" s="142">
        <v>460</v>
      </c>
      <c r="M44" s="142">
        <v>528</v>
      </c>
    </row>
    <row r="45" spans="1:13" x14ac:dyDescent="0.25">
      <c r="A45" s="84">
        <v>6</v>
      </c>
      <c r="B45" s="142">
        <v>1500</v>
      </c>
      <c r="C45" s="142">
        <v>900</v>
      </c>
      <c r="D45" s="142">
        <v>750</v>
      </c>
      <c r="E45" s="142">
        <v>500</v>
      </c>
      <c r="F45" s="142">
        <v>450</v>
      </c>
      <c r="G45" s="142">
        <v>675.67567567567573</v>
      </c>
      <c r="H45" s="142">
        <v>921.48359135309602</v>
      </c>
      <c r="I45" s="142">
        <v>745.80791567742017</v>
      </c>
      <c r="J45" s="142">
        <v>600</v>
      </c>
      <c r="K45" s="142">
        <v>1200</v>
      </c>
      <c r="L45" s="142">
        <v>520</v>
      </c>
      <c r="M45" s="142">
        <v>600</v>
      </c>
    </row>
    <row r="46" spans="1:13" x14ac:dyDescent="0.25">
      <c r="A46" s="84">
        <v>7</v>
      </c>
      <c r="B46" s="142">
        <v>1760</v>
      </c>
      <c r="C46" s="142">
        <v>1060</v>
      </c>
      <c r="D46" s="142">
        <v>860</v>
      </c>
      <c r="E46" s="142">
        <v>560</v>
      </c>
      <c r="F46" s="142">
        <v>500</v>
      </c>
      <c r="G46" s="142">
        <v>756.75675675675677</v>
      </c>
      <c r="H46" s="142">
        <v>1051.7262555696611</v>
      </c>
      <c r="I46" s="142">
        <v>854.96949881290425</v>
      </c>
      <c r="J46" s="142">
        <v>700</v>
      </c>
      <c r="K46" s="142">
        <v>1400</v>
      </c>
      <c r="L46" s="142">
        <v>580</v>
      </c>
      <c r="M46" s="142">
        <v>672</v>
      </c>
    </row>
    <row r="47" spans="1:13" x14ac:dyDescent="0.25">
      <c r="A47" s="84">
        <v>8</v>
      </c>
      <c r="B47" s="142">
        <v>2020</v>
      </c>
      <c r="C47" s="142">
        <v>1220</v>
      </c>
      <c r="D47" s="142">
        <v>970</v>
      </c>
      <c r="E47" s="142">
        <v>620</v>
      </c>
      <c r="F47" s="142">
        <v>550</v>
      </c>
      <c r="G47" s="142">
        <v>837.83783783783781</v>
      </c>
      <c r="H47" s="142">
        <v>1181.968919786226</v>
      </c>
      <c r="I47" s="142">
        <v>964.13108194838821</v>
      </c>
      <c r="J47" s="142">
        <v>800</v>
      </c>
      <c r="K47" s="142">
        <v>1600</v>
      </c>
      <c r="L47" s="142">
        <v>640</v>
      </c>
      <c r="M47" s="142">
        <v>744</v>
      </c>
    </row>
    <row r="48" spans="1:13" x14ac:dyDescent="0.25">
      <c r="A48" s="84">
        <v>9</v>
      </c>
      <c r="B48" s="142">
        <v>2280</v>
      </c>
      <c r="C48" s="142">
        <v>1380</v>
      </c>
      <c r="D48" s="142">
        <v>1080</v>
      </c>
      <c r="E48" s="142">
        <v>680</v>
      </c>
      <c r="F48" s="142">
        <v>600</v>
      </c>
      <c r="G48" s="142">
        <v>918.91891891891896</v>
      </c>
      <c r="H48" s="142">
        <v>1312.2115840027911</v>
      </c>
      <c r="I48" s="142">
        <v>1073.2926650838722</v>
      </c>
      <c r="J48" s="142">
        <v>900</v>
      </c>
      <c r="K48" s="142">
        <v>1800</v>
      </c>
      <c r="L48" s="142">
        <v>700</v>
      </c>
      <c r="M48" s="142">
        <v>816</v>
      </c>
    </row>
    <row r="49" spans="1:13" x14ac:dyDescent="0.25">
      <c r="A49" s="84">
        <v>10</v>
      </c>
      <c r="B49" s="142">
        <v>2540</v>
      </c>
      <c r="C49" s="142">
        <v>1540</v>
      </c>
      <c r="D49" s="142">
        <v>1190</v>
      </c>
      <c r="E49" s="142">
        <v>740</v>
      </c>
      <c r="F49" s="142">
        <v>650</v>
      </c>
      <c r="G49" s="142">
        <v>1000</v>
      </c>
      <c r="H49" s="142">
        <v>1442.4542482193565</v>
      </c>
      <c r="I49" s="142">
        <v>1182.4542482193563</v>
      </c>
      <c r="J49" s="142">
        <v>1000</v>
      </c>
      <c r="K49" s="142">
        <v>2000</v>
      </c>
      <c r="L49" s="142">
        <v>760</v>
      </c>
      <c r="M49" s="142">
        <v>888</v>
      </c>
    </row>
    <row r="50" spans="1:13" x14ac:dyDescent="0.25">
      <c r="A50" s="84">
        <v>11</v>
      </c>
      <c r="B50" s="142">
        <v>2800</v>
      </c>
      <c r="C50" s="142">
        <v>1700</v>
      </c>
      <c r="D50" s="142">
        <v>1300</v>
      </c>
      <c r="E50" s="142">
        <v>800</v>
      </c>
      <c r="F50" s="142">
        <v>700</v>
      </c>
      <c r="G50" s="142">
        <v>1081.081081081081</v>
      </c>
      <c r="H50" s="142">
        <v>1572.6969124359211</v>
      </c>
      <c r="I50" s="142">
        <v>1291.6158313548403</v>
      </c>
      <c r="J50" s="142">
        <v>1100</v>
      </c>
      <c r="K50" s="142">
        <v>2200</v>
      </c>
      <c r="L50" s="142">
        <v>820</v>
      </c>
      <c r="M50" s="142">
        <v>960</v>
      </c>
    </row>
    <row r="51" spans="1:13" x14ac:dyDescent="0.25">
      <c r="A51" s="84">
        <v>12</v>
      </c>
      <c r="B51" s="142">
        <v>3060</v>
      </c>
      <c r="C51" s="142">
        <v>1860</v>
      </c>
      <c r="D51" s="142">
        <v>1410</v>
      </c>
      <c r="E51" s="142">
        <v>860</v>
      </c>
      <c r="F51" s="142">
        <v>750</v>
      </c>
      <c r="G51" s="142">
        <v>1162.1621621621621</v>
      </c>
      <c r="H51" s="142">
        <v>1702.9395766524867</v>
      </c>
      <c r="I51" s="142">
        <v>1400.7774144903244</v>
      </c>
      <c r="J51" s="142">
        <v>1200</v>
      </c>
      <c r="K51" s="142">
        <v>2400</v>
      </c>
      <c r="L51" s="142">
        <v>880</v>
      </c>
      <c r="M51" s="142">
        <v>1032</v>
      </c>
    </row>
    <row r="52" spans="1:13" ht="32.450000000000003" customHeight="1" x14ac:dyDescent="0.25">
      <c r="I52" s="2"/>
    </row>
    <row r="53" spans="1:13" ht="15.75" hidden="1" x14ac:dyDescent="0.25">
      <c r="A53" s="65" t="s">
        <v>41</v>
      </c>
      <c r="B53" s="65" t="s">
        <v>31</v>
      </c>
      <c r="C53" s="65" t="s">
        <v>42</v>
      </c>
      <c r="I53" s="2"/>
    </row>
    <row r="54" spans="1:13" hidden="1" x14ac:dyDescent="0.25">
      <c r="A54" s="73" t="s">
        <v>48</v>
      </c>
      <c r="B54" s="74">
        <v>1</v>
      </c>
      <c r="C54" s="74">
        <f t="shared" ref="C54:C65" si="0">$B54*$B$2+($B54-1)*$B$3/$B$4*$B$2</f>
        <v>200</v>
      </c>
      <c r="I54" s="2"/>
    </row>
    <row r="55" spans="1:13" hidden="1" x14ac:dyDescent="0.25">
      <c r="A55" s="73" t="s">
        <v>48</v>
      </c>
      <c r="B55" s="74">
        <v>2</v>
      </c>
      <c r="C55" s="74">
        <f t="shared" si="0"/>
        <v>460</v>
      </c>
      <c r="I55" s="2"/>
    </row>
    <row r="56" spans="1:13" hidden="1" x14ac:dyDescent="0.25">
      <c r="A56" s="73" t="s">
        <v>48</v>
      </c>
      <c r="B56" s="74">
        <v>3</v>
      </c>
      <c r="C56" s="74">
        <f t="shared" si="0"/>
        <v>720</v>
      </c>
      <c r="I56" s="2"/>
    </row>
    <row r="57" spans="1:13" hidden="1" x14ac:dyDescent="0.25">
      <c r="A57" s="73" t="s">
        <v>48</v>
      </c>
      <c r="B57" s="74">
        <v>4</v>
      </c>
      <c r="C57" s="74">
        <f t="shared" si="0"/>
        <v>980</v>
      </c>
      <c r="I57" s="2"/>
    </row>
    <row r="58" spans="1:13" hidden="1" x14ac:dyDescent="0.25">
      <c r="A58" s="73" t="s">
        <v>48</v>
      </c>
      <c r="B58" s="74">
        <v>5</v>
      </c>
      <c r="C58" s="74">
        <f t="shared" si="0"/>
        <v>1240</v>
      </c>
      <c r="I58" s="2"/>
    </row>
    <row r="59" spans="1:13" hidden="1" x14ac:dyDescent="0.25">
      <c r="A59" s="73" t="s">
        <v>48</v>
      </c>
      <c r="B59" s="74">
        <v>6</v>
      </c>
      <c r="C59" s="74">
        <f t="shared" si="0"/>
        <v>1500</v>
      </c>
      <c r="I59" s="2"/>
    </row>
    <row r="60" spans="1:13" hidden="1" x14ac:dyDescent="0.25">
      <c r="A60" s="73" t="s">
        <v>48</v>
      </c>
      <c r="B60" s="74">
        <v>7</v>
      </c>
      <c r="C60" s="74">
        <f t="shared" si="0"/>
        <v>1760</v>
      </c>
      <c r="I60" s="2"/>
    </row>
    <row r="61" spans="1:13" hidden="1" x14ac:dyDescent="0.25">
      <c r="A61" s="73" t="s">
        <v>48</v>
      </c>
      <c r="B61" s="74">
        <v>8</v>
      </c>
      <c r="C61" s="74">
        <f t="shared" si="0"/>
        <v>2020</v>
      </c>
      <c r="I61" s="2"/>
    </row>
    <row r="62" spans="1:13" hidden="1" x14ac:dyDescent="0.25">
      <c r="A62" s="73" t="s">
        <v>48</v>
      </c>
      <c r="B62" s="74">
        <v>9</v>
      </c>
      <c r="C62" s="74">
        <f t="shared" si="0"/>
        <v>2280</v>
      </c>
      <c r="I62" s="2"/>
    </row>
    <row r="63" spans="1:13" hidden="1" x14ac:dyDescent="0.25">
      <c r="A63" s="73" t="s">
        <v>48</v>
      </c>
      <c r="B63" s="74">
        <v>10</v>
      </c>
      <c r="C63" s="74">
        <f t="shared" si="0"/>
        <v>2540</v>
      </c>
      <c r="I63" s="2"/>
    </row>
    <row r="64" spans="1:13" hidden="1" x14ac:dyDescent="0.25">
      <c r="A64" s="73" t="s">
        <v>48</v>
      </c>
      <c r="B64" s="74">
        <v>11</v>
      </c>
      <c r="C64" s="74">
        <f t="shared" si="0"/>
        <v>2800</v>
      </c>
      <c r="I64" s="2"/>
    </row>
    <row r="65" spans="1:9" hidden="1" x14ac:dyDescent="0.25">
      <c r="A65" s="73" t="s">
        <v>48</v>
      </c>
      <c r="B65" s="74">
        <v>12</v>
      </c>
      <c r="C65" s="74">
        <f t="shared" si="0"/>
        <v>3060</v>
      </c>
      <c r="I65" s="2"/>
    </row>
    <row r="66" spans="1:9" hidden="1" x14ac:dyDescent="0.25">
      <c r="A66" s="73" t="s">
        <v>49</v>
      </c>
      <c r="B66" s="74">
        <v>1</v>
      </c>
      <c r="C66" s="74">
        <f t="shared" ref="C66:C77" si="1">0.5*$B66*$B$2+($B66-1)*$B$3/$B$4*$B$2</f>
        <v>100</v>
      </c>
      <c r="I66" s="2"/>
    </row>
    <row r="67" spans="1:9" hidden="1" x14ac:dyDescent="0.25">
      <c r="A67" s="73" t="s">
        <v>49</v>
      </c>
      <c r="B67" s="74">
        <v>2</v>
      </c>
      <c r="C67" s="74">
        <f t="shared" si="1"/>
        <v>260</v>
      </c>
      <c r="I67" s="2"/>
    </row>
    <row r="68" spans="1:9" hidden="1" x14ac:dyDescent="0.25">
      <c r="A68" s="73" t="s">
        <v>49</v>
      </c>
      <c r="B68" s="74">
        <v>3</v>
      </c>
      <c r="C68" s="74">
        <f t="shared" si="1"/>
        <v>420</v>
      </c>
      <c r="I68" s="2"/>
    </row>
    <row r="69" spans="1:9" hidden="1" x14ac:dyDescent="0.25">
      <c r="A69" s="73" t="s">
        <v>49</v>
      </c>
      <c r="B69" s="74">
        <v>4</v>
      </c>
      <c r="C69" s="74">
        <f t="shared" si="1"/>
        <v>580</v>
      </c>
      <c r="I69" s="2"/>
    </row>
    <row r="70" spans="1:9" hidden="1" x14ac:dyDescent="0.25">
      <c r="A70" s="73" t="s">
        <v>49</v>
      </c>
      <c r="B70" s="74">
        <v>5</v>
      </c>
      <c r="C70" s="74">
        <f t="shared" si="1"/>
        <v>740</v>
      </c>
      <c r="I70" s="2"/>
    </row>
    <row r="71" spans="1:9" hidden="1" x14ac:dyDescent="0.25">
      <c r="A71" s="73" t="s">
        <v>49</v>
      </c>
      <c r="B71" s="74">
        <v>6</v>
      </c>
      <c r="C71" s="74">
        <f t="shared" si="1"/>
        <v>900</v>
      </c>
      <c r="I71" s="2"/>
    </row>
    <row r="72" spans="1:9" hidden="1" x14ac:dyDescent="0.25">
      <c r="A72" s="73" t="s">
        <v>49</v>
      </c>
      <c r="B72" s="74">
        <v>7</v>
      </c>
      <c r="C72" s="74">
        <f t="shared" si="1"/>
        <v>1060</v>
      </c>
      <c r="I72" s="2"/>
    </row>
    <row r="73" spans="1:9" hidden="1" x14ac:dyDescent="0.25">
      <c r="A73" s="73" t="s">
        <v>49</v>
      </c>
      <c r="B73" s="74">
        <v>8</v>
      </c>
      <c r="C73" s="74">
        <f t="shared" si="1"/>
        <v>1220</v>
      </c>
      <c r="I73" s="2"/>
    </row>
    <row r="74" spans="1:9" hidden="1" x14ac:dyDescent="0.25">
      <c r="A74" s="73" t="s">
        <v>49</v>
      </c>
      <c r="B74" s="74">
        <v>9</v>
      </c>
      <c r="C74" s="74">
        <f t="shared" si="1"/>
        <v>1380</v>
      </c>
      <c r="I74" s="2"/>
    </row>
    <row r="75" spans="1:9" hidden="1" x14ac:dyDescent="0.25">
      <c r="A75" s="73" t="s">
        <v>49</v>
      </c>
      <c r="B75" s="74">
        <v>10</v>
      </c>
      <c r="C75" s="74">
        <f t="shared" si="1"/>
        <v>1540</v>
      </c>
      <c r="I75" s="2"/>
    </row>
    <row r="76" spans="1:9" hidden="1" x14ac:dyDescent="0.25">
      <c r="A76" s="73" t="s">
        <v>49</v>
      </c>
      <c r="B76" s="74">
        <v>11</v>
      </c>
      <c r="C76" s="74">
        <f t="shared" si="1"/>
        <v>1700</v>
      </c>
      <c r="I76" s="2"/>
    </row>
    <row r="77" spans="1:9" hidden="1" x14ac:dyDescent="0.25">
      <c r="A77" s="73" t="s">
        <v>49</v>
      </c>
      <c r="B77" s="74">
        <v>12</v>
      </c>
      <c r="C77" s="74">
        <f t="shared" si="1"/>
        <v>1860</v>
      </c>
      <c r="I77" s="2"/>
    </row>
    <row r="78" spans="1:9" ht="30" hidden="1" x14ac:dyDescent="0.25">
      <c r="A78" s="73" t="s">
        <v>50</v>
      </c>
      <c r="B78" s="74">
        <v>1</v>
      </c>
      <c r="C78" s="74">
        <f t="shared" ref="C78:C89" si="2">$B$78*$B$2+($B78-1)*0.25*$B$2+($B78-1)*$B$3/$B$4*$B$2</f>
        <v>200</v>
      </c>
      <c r="I78" s="2"/>
    </row>
    <row r="79" spans="1:9" ht="30" hidden="1" x14ac:dyDescent="0.25">
      <c r="A79" s="73" t="s">
        <v>50</v>
      </c>
      <c r="B79" s="74">
        <v>2</v>
      </c>
      <c r="C79" s="74">
        <f t="shared" si="2"/>
        <v>310</v>
      </c>
      <c r="I79" s="2"/>
    </row>
    <row r="80" spans="1:9" ht="30" hidden="1" x14ac:dyDescent="0.25">
      <c r="A80" s="73" t="s">
        <v>50</v>
      </c>
      <c r="B80" s="74">
        <v>3</v>
      </c>
      <c r="C80" s="74">
        <f t="shared" si="2"/>
        <v>420</v>
      </c>
      <c r="I80" s="2"/>
    </row>
    <row r="81" spans="1:9" ht="30" hidden="1" x14ac:dyDescent="0.25">
      <c r="A81" s="73" t="s">
        <v>50</v>
      </c>
      <c r="B81" s="74">
        <v>4</v>
      </c>
      <c r="C81" s="74">
        <f t="shared" si="2"/>
        <v>530</v>
      </c>
      <c r="I81" s="2"/>
    </row>
    <row r="82" spans="1:9" ht="30" hidden="1" x14ac:dyDescent="0.25">
      <c r="A82" s="73" t="s">
        <v>50</v>
      </c>
      <c r="B82" s="74">
        <v>5</v>
      </c>
      <c r="C82" s="74">
        <f t="shared" si="2"/>
        <v>640</v>
      </c>
      <c r="I82" s="2"/>
    </row>
    <row r="83" spans="1:9" ht="30" hidden="1" x14ac:dyDescent="0.25">
      <c r="A83" s="73" t="s">
        <v>50</v>
      </c>
      <c r="B83" s="74">
        <v>6</v>
      </c>
      <c r="C83" s="74">
        <f t="shared" si="2"/>
        <v>750</v>
      </c>
      <c r="I83" s="2"/>
    </row>
    <row r="84" spans="1:9" ht="30" hidden="1" x14ac:dyDescent="0.25">
      <c r="A84" s="73" t="s">
        <v>50</v>
      </c>
      <c r="B84" s="74">
        <v>7</v>
      </c>
      <c r="C84" s="74">
        <f t="shared" si="2"/>
        <v>860</v>
      </c>
      <c r="I84" s="2"/>
    </row>
    <row r="85" spans="1:9" ht="30" hidden="1" x14ac:dyDescent="0.25">
      <c r="A85" s="73" t="s">
        <v>50</v>
      </c>
      <c r="B85" s="74">
        <v>8</v>
      </c>
      <c r="C85" s="74">
        <f t="shared" si="2"/>
        <v>970</v>
      </c>
      <c r="I85" s="2"/>
    </row>
    <row r="86" spans="1:9" ht="30" hidden="1" x14ac:dyDescent="0.25">
      <c r="A86" s="73" t="s">
        <v>50</v>
      </c>
      <c r="B86" s="74">
        <v>9</v>
      </c>
      <c r="C86" s="74">
        <f t="shared" si="2"/>
        <v>1080</v>
      </c>
      <c r="I86" s="2"/>
    </row>
    <row r="87" spans="1:9" ht="30" hidden="1" x14ac:dyDescent="0.25">
      <c r="A87" s="73" t="s">
        <v>50</v>
      </c>
      <c r="B87" s="74">
        <v>10</v>
      </c>
      <c r="C87" s="74">
        <f t="shared" si="2"/>
        <v>1190</v>
      </c>
      <c r="I87" s="2"/>
    </row>
    <row r="88" spans="1:9" ht="30" hidden="1" x14ac:dyDescent="0.25">
      <c r="A88" s="73" t="s">
        <v>50</v>
      </c>
      <c r="B88" s="74">
        <v>11</v>
      </c>
      <c r="C88" s="74">
        <f t="shared" si="2"/>
        <v>1300</v>
      </c>
      <c r="I88" s="2"/>
    </row>
    <row r="89" spans="1:9" ht="30" hidden="1" x14ac:dyDescent="0.25">
      <c r="A89" s="73" t="s">
        <v>50</v>
      </c>
      <c r="B89" s="74">
        <v>12</v>
      </c>
      <c r="C89" s="74">
        <f t="shared" si="2"/>
        <v>1410</v>
      </c>
      <c r="I89" s="2"/>
    </row>
    <row r="90" spans="1:9" ht="45" hidden="1" x14ac:dyDescent="0.25">
      <c r="A90" s="73" t="s">
        <v>35</v>
      </c>
      <c r="B90" s="74">
        <v>1</v>
      </c>
      <c r="C90" s="75">
        <f t="shared" ref="C90:C101" si="3">$B$90*$B$2+($B90-1)*$B$3/$B$4*$B$2</f>
        <v>200</v>
      </c>
      <c r="I90" s="2"/>
    </row>
    <row r="91" spans="1:9" ht="45" hidden="1" x14ac:dyDescent="0.25">
      <c r="A91" s="73" t="s">
        <v>35</v>
      </c>
      <c r="B91" s="74">
        <v>2</v>
      </c>
      <c r="C91" s="75">
        <f t="shared" si="3"/>
        <v>260</v>
      </c>
      <c r="I91" s="2"/>
    </row>
    <row r="92" spans="1:9" ht="45" hidden="1" x14ac:dyDescent="0.25">
      <c r="A92" s="73" t="s">
        <v>35</v>
      </c>
      <c r="B92" s="74">
        <v>3</v>
      </c>
      <c r="C92" s="75">
        <f t="shared" si="3"/>
        <v>320</v>
      </c>
      <c r="I92" s="2"/>
    </row>
    <row r="93" spans="1:9" ht="45" hidden="1" x14ac:dyDescent="0.25">
      <c r="A93" s="73" t="s">
        <v>35</v>
      </c>
      <c r="B93" s="74">
        <v>4</v>
      </c>
      <c r="C93" s="75">
        <f t="shared" si="3"/>
        <v>380</v>
      </c>
      <c r="I93" s="2"/>
    </row>
    <row r="94" spans="1:9" ht="45" hidden="1" x14ac:dyDescent="0.25">
      <c r="A94" s="73" t="s">
        <v>35</v>
      </c>
      <c r="B94" s="74">
        <v>5</v>
      </c>
      <c r="C94" s="75">
        <f t="shared" si="3"/>
        <v>440</v>
      </c>
      <c r="I94" s="2"/>
    </row>
    <row r="95" spans="1:9" ht="45" hidden="1" x14ac:dyDescent="0.25">
      <c r="A95" s="73" t="s">
        <v>35</v>
      </c>
      <c r="B95" s="74">
        <v>6</v>
      </c>
      <c r="C95" s="75">
        <f t="shared" si="3"/>
        <v>500</v>
      </c>
      <c r="I95" s="2"/>
    </row>
    <row r="96" spans="1:9" ht="45" hidden="1" x14ac:dyDescent="0.25">
      <c r="A96" s="73" t="s">
        <v>35</v>
      </c>
      <c r="B96" s="74">
        <v>7</v>
      </c>
      <c r="C96" s="75">
        <f t="shared" si="3"/>
        <v>560</v>
      </c>
      <c r="I96" s="2"/>
    </row>
    <row r="97" spans="1:9" ht="45" hidden="1" x14ac:dyDescent="0.25">
      <c r="A97" s="73" t="s">
        <v>35</v>
      </c>
      <c r="B97" s="74">
        <v>8</v>
      </c>
      <c r="C97" s="75">
        <f t="shared" si="3"/>
        <v>620</v>
      </c>
      <c r="I97" s="2"/>
    </row>
    <row r="98" spans="1:9" ht="45" hidden="1" x14ac:dyDescent="0.25">
      <c r="A98" s="73" t="s">
        <v>35</v>
      </c>
      <c r="B98" s="74">
        <v>9</v>
      </c>
      <c r="C98" s="75">
        <f t="shared" si="3"/>
        <v>680</v>
      </c>
      <c r="I98" s="2"/>
    </row>
    <row r="99" spans="1:9" ht="45" hidden="1" x14ac:dyDescent="0.25">
      <c r="A99" s="73" t="s">
        <v>35</v>
      </c>
      <c r="B99" s="74">
        <v>10</v>
      </c>
      <c r="C99" s="75">
        <f t="shared" si="3"/>
        <v>740</v>
      </c>
      <c r="I99" s="2"/>
    </row>
    <row r="100" spans="1:9" ht="45" hidden="1" x14ac:dyDescent="0.25">
      <c r="A100" s="73" t="s">
        <v>35</v>
      </c>
      <c r="B100" s="74">
        <v>11</v>
      </c>
      <c r="C100" s="75">
        <f t="shared" si="3"/>
        <v>800</v>
      </c>
      <c r="I100" s="2"/>
    </row>
    <row r="101" spans="1:9" ht="45" hidden="1" x14ac:dyDescent="0.25">
      <c r="A101" s="73" t="s">
        <v>35</v>
      </c>
      <c r="B101" s="74">
        <v>12</v>
      </c>
      <c r="C101" s="75">
        <f t="shared" si="3"/>
        <v>860</v>
      </c>
      <c r="I101" s="2"/>
    </row>
    <row r="102" spans="1:9" hidden="1" x14ac:dyDescent="0.25">
      <c r="A102" s="73" t="s">
        <v>51</v>
      </c>
      <c r="B102" s="74">
        <v>1</v>
      </c>
      <c r="C102" s="74">
        <f t="shared" ref="C102:C113" si="4">$B$102*1.1*$B$2+($B102-1)*$B$3/$B$4*$B$2</f>
        <v>220.00000000000003</v>
      </c>
      <c r="I102" s="2"/>
    </row>
    <row r="103" spans="1:9" hidden="1" x14ac:dyDescent="0.25">
      <c r="A103" s="73" t="s">
        <v>51</v>
      </c>
      <c r="B103" s="74">
        <v>2</v>
      </c>
      <c r="C103" s="74">
        <f t="shared" si="4"/>
        <v>280</v>
      </c>
      <c r="I103" s="2"/>
    </row>
    <row r="104" spans="1:9" hidden="1" x14ac:dyDescent="0.25">
      <c r="A104" s="73" t="s">
        <v>51</v>
      </c>
      <c r="B104" s="74">
        <v>3</v>
      </c>
      <c r="C104" s="74">
        <f t="shared" si="4"/>
        <v>340</v>
      </c>
      <c r="I104" s="2"/>
    </row>
    <row r="105" spans="1:9" hidden="1" x14ac:dyDescent="0.25">
      <c r="A105" s="73" t="s">
        <v>51</v>
      </c>
      <c r="B105" s="74">
        <v>4</v>
      </c>
      <c r="C105" s="74">
        <f t="shared" si="4"/>
        <v>400</v>
      </c>
      <c r="I105" s="2"/>
    </row>
    <row r="106" spans="1:9" hidden="1" x14ac:dyDescent="0.25">
      <c r="A106" s="73" t="s">
        <v>51</v>
      </c>
      <c r="B106" s="74">
        <v>5</v>
      </c>
      <c r="C106" s="74">
        <f t="shared" si="4"/>
        <v>460</v>
      </c>
      <c r="I106" s="2"/>
    </row>
    <row r="107" spans="1:9" hidden="1" x14ac:dyDescent="0.25">
      <c r="A107" s="73" t="s">
        <v>51</v>
      </c>
      <c r="B107" s="74">
        <v>6</v>
      </c>
      <c r="C107" s="74">
        <f t="shared" si="4"/>
        <v>520</v>
      </c>
      <c r="I107" s="2"/>
    </row>
    <row r="108" spans="1:9" hidden="1" x14ac:dyDescent="0.25">
      <c r="A108" s="73" t="s">
        <v>51</v>
      </c>
      <c r="B108" s="74">
        <v>7</v>
      </c>
      <c r="C108" s="74">
        <f t="shared" si="4"/>
        <v>580</v>
      </c>
      <c r="I108" s="2"/>
    </row>
    <row r="109" spans="1:9" hidden="1" x14ac:dyDescent="0.25">
      <c r="A109" s="73" t="s">
        <v>51</v>
      </c>
      <c r="B109" s="74">
        <v>8</v>
      </c>
      <c r="C109" s="74">
        <f t="shared" si="4"/>
        <v>640</v>
      </c>
      <c r="I109" s="2"/>
    </row>
    <row r="110" spans="1:9" hidden="1" x14ac:dyDescent="0.25">
      <c r="A110" s="73" t="s">
        <v>51</v>
      </c>
      <c r="B110" s="74">
        <v>9</v>
      </c>
      <c r="C110" s="74">
        <f t="shared" si="4"/>
        <v>700</v>
      </c>
      <c r="I110" s="2"/>
    </row>
    <row r="111" spans="1:9" hidden="1" x14ac:dyDescent="0.25">
      <c r="A111" s="73" t="s">
        <v>51</v>
      </c>
      <c r="B111" s="74">
        <v>10</v>
      </c>
      <c r="C111" s="74">
        <f t="shared" si="4"/>
        <v>760</v>
      </c>
      <c r="I111" s="2"/>
    </row>
    <row r="112" spans="1:9" hidden="1" x14ac:dyDescent="0.25">
      <c r="A112" s="73" t="s">
        <v>51</v>
      </c>
      <c r="B112" s="74">
        <v>11</v>
      </c>
      <c r="C112" s="74">
        <f t="shared" si="4"/>
        <v>820</v>
      </c>
      <c r="I112" s="2"/>
    </row>
    <row r="113" spans="1:9" hidden="1" x14ac:dyDescent="0.25">
      <c r="A113" s="73" t="s">
        <v>51</v>
      </c>
      <c r="B113" s="74">
        <v>12</v>
      </c>
      <c r="C113" s="74">
        <f t="shared" si="4"/>
        <v>880</v>
      </c>
      <c r="I113" s="2"/>
    </row>
    <row r="114" spans="1:9" ht="30" hidden="1" x14ac:dyDescent="0.25">
      <c r="A114" s="73" t="s">
        <v>52</v>
      </c>
      <c r="B114" s="74">
        <v>1</v>
      </c>
      <c r="C114" s="74">
        <f t="shared" ref="C114:C125" si="5">($B$2+($B114-1)*($B$3)/$B$4*$B$2)+(0.25*($B$2+($B114-1)*($B$3)/$B$4*$B$2)/($B$3-0.25))</f>
        <v>240</v>
      </c>
      <c r="I114" s="2"/>
    </row>
    <row r="115" spans="1:9" ht="30" hidden="1" x14ac:dyDescent="0.25">
      <c r="A115" s="73" t="s">
        <v>52</v>
      </c>
      <c r="B115" s="74">
        <v>2</v>
      </c>
      <c r="C115" s="74">
        <f t="shared" si="5"/>
        <v>312</v>
      </c>
      <c r="I115" s="2"/>
    </row>
    <row r="116" spans="1:9" ht="30" hidden="1" x14ac:dyDescent="0.25">
      <c r="A116" s="73" t="s">
        <v>52</v>
      </c>
      <c r="B116" s="74">
        <v>3</v>
      </c>
      <c r="C116" s="74">
        <f t="shared" si="5"/>
        <v>384</v>
      </c>
      <c r="I116" s="2"/>
    </row>
    <row r="117" spans="1:9" ht="30" hidden="1" x14ac:dyDescent="0.25">
      <c r="A117" s="73" t="s">
        <v>52</v>
      </c>
      <c r="B117" s="74">
        <v>4</v>
      </c>
      <c r="C117" s="74">
        <f t="shared" si="5"/>
        <v>456</v>
      </c>
      <c r="I117" s="2"/>
    </row>
    <row r="118" spans="1:9" ht="30" hidden="1" x14ac:dyDescent="0.25">
      <c r="A118" s="73" t="s">
        <v>52</v>
      </c>
      <c r="B118" s="74">
        <v>5</v>
      </c>
      <c r="C118" s="74">
        <f t="shared" si="5"/>
        <v>528</v>
      </c>
      <c r="I118" s="2"/>
    </row>
    <row r="119" spans="1:9" ht="30" hidden="1" x14ac:dyDescent="0.25">
      <c r="A119" s="73" t="s">
        <v>52</v>
      </c>
      <c r="B119" s="74">
        <v>6</v>
      </c>
      <c r="C119" s="74">
        <f t="shared" si="5"/>
        <v>600</v>
      </c>
      <c r="I119" s="2"/>
    </row>
    <row r="120" spans="1:9" ht="30" hidden="1" x14ac:dyDescent="0.25">
      <c r="A120" s="73" t="s">
        <v>52</v>
      </c>
      <c r="B120" s="74">
        <v>7</v>
      </c>
      <c r="C120" s="74">
        <f t="shared" si="5"/>
        <v>672</v>
      </c>
      <c r="I120" s="2"/>
    </row>
    <row r="121" spans="1:9" ht="30" hidden="1" x14ac:dyDescent="0.25">
      <c r="A121" s="73" t="s">
        <v>52</v>
      </c>
      <c r="B121" s="74">
        <v>8</v>
      </c>
      <c r="C121" s="74">
        <f t="shared" si="5"/>
        <v>744</v>
      </c>
      <c r="I121" s="2"/>
    </row>
    <row r="122" spans="1:9" ht="30" hidden="1" x14ac:dyDescent="0.25">
      <c r="A122" s="73" t="s">
        <v>52</v>
      </c>
      <c r="B122" s="74">
        <v>9</v>
      </c>
      <c r="C122" s="74">
        <f t="shared" si="5"/>
        <v>816</v>
      </c>
      <c r="I122" s="2"/>
    </row>
    <row r="123" spans="1:9" ht="30" hidden="1" x14ac:dyDescent="0.25">
      <c r="A123" s="73" t="s">
        <v>52</v>
      </c>
      <c r="B123" s="74">
        <v>10</v>
      </c>
      <c r="C123" s="74">
        <f t="shared" si="5"/>
        <v>888</v>
      </c>
      <c r="I123" s="2"/>
    </row>
    <row r="124" spans="1:9" ht="30" hidden="1" x14ac:dyDescent="0.25">
      <c r="A124" s="73" t="s">
        <v>52</v>
      </c>
      <c r="B124" s="74">
        <v>11</v>
      </c>
      <c r="C124" s="74">
        <f t="shared" si="5"/>
        <v>960</v>
      </c>
      <c r="I124" s="2"/>
    </row>
    <row r="125" spans="1:9" ht="30" hidden="1" x14ac:dyDescent="0.25">
      <c r="A125" s="73" t="s">
        <v>52</v>
      </c>
      <c r="B125" s="74">
        <v>12</v>
      </c>
      <c r="C125" s="74">
        <f t="shared" si="5"/>
        <v>1032</v>
      </c>
      <c r="I125" s="2"/>
    </row>
    <row r="126" spans="1:9" ht="30" hidden="1" x14ac:dyDescent="0.25">
      <c r="A126" s="73" t="s">
        <v>34</v>
      </c>
      <c r="B126" s="74">
        <v>1</v>
      </c>
      <c r="C126" s="74">
        <f t="shared" ref="C126:C137" si="6">B126*$B$2</f>
        <v>200</v>
      </c>
      <c r="I126" s="2"/>
    </row>
    <row r="127" spans="1:9" ht="30" hidden="1" x14ac:dyDescent="0.25">
      <c r="A127" s="73" t="s">
        <v>34</v>
      </c>
      <c r="B127" s="74">
        <v>2</v>
      </c>
      <c r="C127" s="74">
        <f t="shared" si="6"/>
        <v>400</v>
      </c>
      <c r="I127" s="2"/>
    </row>
    <row r="128" spans="1:9" ht="30" hidden="1" x14ac:dyDescent="0.25">
      <c r="A128" s="73" t="s">
        <v>34</v>
      </c>
      <c r="B128" s="74">
        <v>3</v>
      </c>
      <c r="C128" s="74">
        <f t="shared" si="6"/>
        <v>600</v>
      </c>
      <c r="I128" s="2"/>
    </row>
    <row r="129" spans="1:9" ht="30" hidden="1" x14ac:dyDescent="0.25">
      <c r="A129" s="73" t="s">
        <v>34</v>
      </c>
      <c r="B129" s="74">
        <v>4</v>
      </c>
      <c r="C129" s="74">
        <f t="shared" si="6"/>
        <v>800</v>
      </c>
      <c r="I129" s="2"/>
    </row>
    <row r="130" spans="1:9" ht="30" hidden="1" x14ac:dyDescent="0.25">
      <c r="A130" s="73" t="s">
        <v>34</v>
      </c>
      <c r="B130" s="74">
        <v>5</v>
      </c>
      <c r="C130" s="74">
        <f t="shared" si="6"/>
        <v>1000</v>
      </c>
      <c r="I130" s="2"/>
    </row>
    <row r="131" spans="1:9" ht="30" hidden="1" x14ac:dyDescent="0.25">
      <c r="A131" s="73" t="s">
        <v>34</v>
      </c>
      <c r="B131" s="74">
        <v>6</v>
      </c>
      <c r="C131" s="74">
        <f t="shared" si="6"/>
        <v>1200</v>
      </c>
      <c r="I131" s="2"/>
    </row>
    <row r="132" spans="1:9" ht="30" hidden="1" x14ac:dyDescent="0.25">
      <c r="A132" s="73" t="s">
        <v>34</v>
      </c>
      <c r="B132" s="74">
        <v>7</v>
      </c>
      <c r="C132" s="74">
        <f t="shared" si="6"/>
        <v>1400</v>
      </c>
      <c r="I132" s="2"/>
    </row>
    <row r="133" spans="1:9" ht="30" hidden="1" x14ac:dyDescent="0.25">
      <c r="A133" s="73" t="s">
        <v>34</v>
      </c>
      <c r="B133" s="74">
        <v>8</v>
      </c>
      <c r="C133" s="74">
        <f t="shared" si="6"/>
        <v>1600</v>
      </c>
      <c r="I133" s="2"/>
    </row>
    <row r="134" spans="1:9" ht="30" hidden="1" x14ac:dyDescent="0.25">
      <c r="A134" s="73" t="s">
        <v>34</v>
      </c>
      <c r="B134" s="74">
        <v>9</v>
      </c>
      <c r="C134" s="74">
        <f t="shared" si="6"/>
        <v>1800</v>
      </c>
      <c r="I134" s="2"/>
    </row>
    <row r="135" spans="1:9" ht="30" hidden="1" x14ac:dyDescent="0.25">
      <c r="A135" s="73" t="s">
        <v>34</v>
      </c>
      <c r="B135" s="74">
        <v>10</v>
      </c>
      <c r="C135" s="74">
        <f t="shared" si="6"/>
        <v>2000</v>
      </c>
      <c r="I135" s="2"/>
    </row>
    <row r="136" spans="1:9" ht="30" hidden="1" x14ac:dyDescent="0.25">
      <c r="A136" s="73" t="s">
        <v>34</v>
      </c>
      <c r="B136" s="74">
        <v>11</v>
      </c>
      <c r="C136" s="74">
        <f t="shared" si="6"/>
        <v>2200</v>
      </c>
      <c r="I136" s="2"/>
    </row>
    <row r="137" spans="1:9" ht="30" hidden="1" x14ac:dyDescent="0.25">
      <c r="A137" s="73" t="s">
        <v>34</v>
      </c>
      <c r="B137" s="74">
        <v>12</v>
      </c>
      <c r="C137" s="74">
        <f t="shared" si="6"/>
        <v>2400</v>
      </c>
      <c r="I137" s="2"/>
    </row>
    <row r="138" spans="1:9" ht="30" hidden="1" x14ac:dyDescent="0.25">
      <c r="A138" s="73" t="s">
        <v>32</v>
      </c>
      <c r="B138" s="74">
        <v>1</v>
      </c>
      <c r="C138" s="74">
        <f t="shared" ref="C138:C149" si="7">0.5*B138*$B$2</f>
        <v>100</v>
      </c>
      <c r="I138" s="2"/>
    </row>
    <row r="139" spans="1:9" ht="30" hidden="1" x14ac:dyDescent="0.25">
      <c r="A139" s="73" t="s">
        <v>32</v>
      </c>
      <c r="B139" s="74">
        <v>2</v>
      </c>
      <c r="C139" s="74">
        <f t="shared" si="7"/>
        <v>200</v>
      </c>
      <c r="I139" s="2"/>
    </row>
    <row r="140" spans="1:9" ht="30" hidden="1" x14ac:dyDescent="0.25">
      <c r="A140" s="73" t="s">
        <v>32</v>
      </c>
      <c r="B140" s="74">
        <v>3</v>
      </c>
      <c r="C140" s="74">
        <f t="shared" si="7"/>
        <v>300</v>
      </c>
      <c r="I140" s="2"/>
    </row>
    <row r="141" spans="1:9" ht="30" hidden="1" x14ac:dyDescent="0.25">
      <c r="A141" s="73" t="s">
        <v>32</v>
      </c>
      <c r="B141" s="74">
        <v>4</v>
      </c>
      <c r="C141" s="74">
        <f t="shared" si="7"/>
        <v>400</v>
      </c>
      <c r="I141" s="2"/>
    </row>
    <row r="142" spans="1:9" ht="30" hidden="1" x14ac:dyDescent="0.25">
      <c r="A142" s="73" t="s">
        <v>32</v>
      </c>
      <c r="B142" s="74">
        <v>5</v>
      </c>
      <c r="C142" s="74">
        <f t="shared" si="7"/>
        <v>500</v>
      </c>
      <c r="I142" s="2"/>
    </row>
    <row r="143" spans="1:9" ht="30" hidden="1" x14ac:dyDescent="0.25">
      <c r="A143" s="73" t="s">
        <v>32</v>
      </c>
      <c r="B143" s="74">
        <v>6</v>
      </c>
      <c r="C143" s="74">
        <f t="shared" si="7"/>
        <v>600</v>
      </c>
      <c r="I143" s="2"/>
    </row>
    <row r="144" spans="1:9" ht="30" hidden="1" x14ac:dyDescent="0.25">
      <c r="A144" s="73" t="s">
        <v>32</v>
      </c>
      <c r="B144" s="74">
        <v>7</v>
      </c>
      <c r="C144" s="74">
        <f t="shared" si="7"/>
        <v>700</v>
      </c>
      <c r="I144" s="2"/>
    </row>
    <row r="145" spans="1:3" ht="30" hidden="1" x14ac:dyDescent="0.25">
      <c r="A145" s="73" t="s">
        <v>32</v>
      </c>
      <c r="B145" s="74">
        <v>8</v>
      </c>
      <c r="C145" s="74">
        <f t="shared" si="7"/>
        <v>800</v>
      </c>
    </row>
    <row r="146" spans="1:3" ht="30" hidden="1" x14ac:dyDescent="0.25">
      <c r="A146" s="73" t="s">
        <v>32</v>
      </c>
      <c r="B146" s="74">
        <v>9</v>
      </c>
      <c r="C146" s="74">
        <f t="shared" si="7"/>
        <v>900</v>
      </c>
    </row>
    <row r="147" spans="1:3" ht="30" hidden="1" x14ac:dyDescent="0.25">
      <c r="A147" s="73" t="s">
        <v>32</v>
      </c>
      <c r="B147" s="74">
        <v>10</v>
      </c>
      <c r="C147" s="74">
        <f t="shared" si="7"/>
        <v>1000</v>
      </c>
    </row>
    <row r="148" spans="1:3" ht="30" hidden="1" x14ac:dyDescent="0.25">
      <c r="A148" s="73" t="s">
        <v>32</v>
      </c>
      <c r="B148" s="74">
        <v>11</v>
      </c>
      <c r="C148" s="74">
        <f t="shared" si="7"/>
        <v>1100</v>
      </c>
    </row>
    <row r="149" spans="1:3" ht="30" hidden="1" x14ac:dyDescent="0.25">
      <c r="A149" s="73" t="s">
        <v>32</v>
      </c>
      <c r="B149" s="74">
        <v>12</v>
      </c>
      <c r="C149" s="74">
        <f t="shared" si="7"/>
        <v>1200</v>
      </c>
    </row>
    <row r="150" spans="1:3" ht="45" hidden="1" x14ac:dyDescent="0.25">
      <c r="A150" s="73" t="s">
        <v>33</v>
      </c>
      <c r="B150" s="74">
        <v>1</v>
      </c>
      <c r="C150" s="74">
        <f t="shared" ref="C150:C161" si="8">$B$2+0.25*($B150-1)*$B$2</f>
        <v>200</v>
      </c>
    </row>
    <row r="151" spans="1:3" ht="45" hidden="1" x14ac:dyDescent="0.25">
      <c r="A151" s="73" t="s">
        <v>33</v>
      </c>
      <c r="B151" s="74">
        <v>2</v>
      </c>
      <c r="C151" s="74">
        <f t="shared" si="8"/>
        <v>250</v>
      </c>
    </row>
    <row r="152" spans="1:3" ht="45" hidden="1" x14ac:dyDescent="0.25">
      <c r="A152" s="73" t="s">
        <v>33</v>
      </c>
      <c r="B152" s="74">
        <v>3</v>
      </c>
      <c r="C152" s="74">
        <f t="shared" si="8"/>
        <v>300</v>
      </c>
    </row>
    <row r="153" spans="1:3" ht="45" hidden="1" x14ac:dyDescent="0.25">
      <c r="A153" s="73" t="s">
        <v>33</v>
      </c>
      <c r="B153" s="74">
        <v>4</v>
      </c>
      <c r="C153" s="74">
        <f t="shared" si="8"/>
        <v>350</v>
      </c>
    </row>
    <row r="154" spans="1:3" ht="45" hidden="1" x14ac:dyDescent="0.25">
      <c r="A154" s="73" t="s">
        <v>33</v>
      </c>
      <c r="B154" s="74">
        <v>5</v>
      </c>
      <c r="C154" s="74">
        <f t="shared" si="8"/>
        <v>400</v>
      </c>
    </row>
    <row r="155" spans="1:3" ht="45" hidden="1" x14ac:dyDescent="0.25">
      <c r="A155" s="73" t="s">
        <v>33</v>
      </c>
      <c r="B155" s="74">
        <v>6</v>
      </c>
      <c r="C155" s="74">
        <f t="shared" si="8"/>
        <v>450</v>
      </c>
    </row>
    <row r="156" spans="1:3" ht="45" hidden="1" x14ac:dyDescent="0.25">
      <c r="A156" s="73" t="s">
        <v>33</v>
      </c>
      <c r="B156" s="74">
        <v>7</v>
      </c>
      <c r="C156" s="74">
        <f t="shared" si="8"/>
        <v>500</v>
      </c>
    </row>
    <row r="157" spans="1:3" ht="45" hidden="1" x14ac:dyDescent="0.25">
      <c r="A157" s="73" t="s">
        <v>33</v>
      </c>
      <c r="B157" s="74">
        <v>8</v>
      </c>
      <c r="C157" s="74">
        <f t="shared" si="8"/>
        <v>550</v>
      </c>
    </row>
    <row r="158" spans="1:3" ht="45" hidden="1" x14ac:dyDescent="0.25">
      <c r="A158" s="73" t="s">
        <v>33</v>
      </c>
      <c r="B158" s="74">
        <v>9</v>
      </c>
      <c r="C158" s="74">
        <f t="shared" si="8"/>
        <v>600</v>
      </c>
    </row>
    <row r="159" spans="1:3" ht="45" hidden="1" x14ac:dyDescent="0.25">
      <c r="A159" s="73" t="s">
        <v>33</v>
      </c>
      <c r="B159" s="74">
        <v>10</v>
      </c>
      <c r="C159" s="74">
        <f t="shared" si="8"/>
        <v>650</v>
      </c>
    </row>
    <row r="160" spans="1:3" ht="45" hidden="1" x14ac:dyDescent="0.25">
      <c r="A160" s="73" t="s">
        <v>33</v>
      </c>
      <c r="B160" s="74">
        <v>11</v>
      </c>
      <c r="C160" s="74">
        <f t="shared" si="8"/>
        <v>700</v>
      </c>
    </row>
    <row r="161" spans="1:3" ht="45" hidden="1" x14ac:dyDescent="0.25">
      <c r="A161" s="73" t="s">
        <v>33</v>
      </c>
      <c r="B161" s="74">
        <v>12</v>
      </c>
      <c r="C161" s="74">
        <f t="shared" si="8"/>
        <v>750</v>
      </c>
    </row>
    <row r="162" spans="1:3" ht="45" hidden="1" x14ac:dyDescent="0.25">
      <c r="A162" s="73" t="s">
        <v>53</v>
      </c>
      <c r="B162" s="74">
        <v>1</v>
      </c>
      <c r="C162" s="74">
        <f t="shared" ref="C162:C173" si="9">$B$162*$B$2+($B162-1)*$B$3/$B$4*$B$2+($B162-1)*4*60*0.002*(2*PI()*$B$5+2*PI()*$B$5*$B$5)</f>
        <v>200</v>
      </c>
    </row>
    <row r="163" spans="1:3" ht="45" hidden="1" x14ac:dyDescent="0.25">
      <c r="A163" s="73" t="s">
        <v>53</v>
      </c>
      <c r="B163" s="74">
        <v>2</v>
      </c>
      <c r="C163" s="74">
        <f t="shared" si="9"/>
        <v>309.16158313548402</v>
      </c>
    </row>
    <row r="164" spans="1:3" ht="45" hidden="1" x14ac:dyDescent="0.25">
      <c r="A164" s="73" t="s">
        <v>53</v>
      </c>
      <c r="B164" s="74">
        <v>3</v>
      </c>
      <c r="C164" s="74">
        <f t="shared" si="9"/>
        <v>418.32316627096804</v>
      </c>
    </row>
    <row r="165" spans="1:3" ht="45" hidden="1" x14ac:dyDescent="0.25">
      <c r="A165" s="73" t="s">
        <v>53</v>
      </c>
      <c r="B165" s="74">
        <v>4</v>
      </c>
      <c r="C165" s="74">
        <f t="shared" si="9"/>
        <v>527.48474940645212</v>
      </c>
    </row>
    <row r="166" spans="1:3" ht="45" hidden="1" x14ac:dyDescent="0.25">
      <c r="A166" s="73" t="s">
        <v>53</v>
      </c>
      <c r="B166" s="74">
        <v>5</v>
      </c>
      <c r="C166" s="74">
        <f t="shared" si="9"/>
        <v>636.64633254193609</v>
      </c>
    </row>
    <row r="167" spans="1:3" ht="45" hidden="1" x14ac:dyDescent="0.25">
      <c r="A167" s="73" t="s">
        <v>53</v>
      </c>
      <c r="B167" s="74">
        <v>6</v>
      </c>
      <c r="C167" s="74">
        <f t="shared" si="9"/>
        <v>745.80791567742017</v>
      </c>
    </row>
    <row r="168" spans="1:3" ht="45" hidden="1" x14ac:dyDescent="0.25">
      <c r="A168" s="73" t="s">
        <v>53</v>
      </c>
      <c r="B168" s="74">
        <v>7</v>
      </c>
      <c r="C168" s="74">
        <f t="shared" si="9"/>
        <v>854.96949881290425</v>
      </c>
    </row>
    <row r="169" spans="1:3" ht="45" hidden="1" x14ac:dyDescent="0.25">
      <c r="A169" s="73" t="s">
        <v>53</v>
      </c>
      <c r="B169" s="74">
        <v>8</v>
      </c>
      <c r="C169" s="74">
        <f t="shared" si="9"/>
        <v>964.13108194838821</v>
      </c>
    </row>
    <row r="170" spans="1:3" ht="45" hidden="1" x14ac:dyDescent="0.25">
      <c r="A170" s="73" t="s">
        <v>53</v>
      </c>
      <c r="B170" s="74">
        <v>9</v>
      </c>
      <c r="C170" s="74">
        <f t="shared" si="9"/>
        <v>1073.2926650838722</v>
      </c>
    </row>
    <row r="171" spans="1:3" ht="45" hidden="1" x14ac:dyDescent="0.25">
      <c r="A171" s="73" t="s">
        <v>53</v>
      </c>
      <c r="B171" s="74">
        <v>10</v>
      </c>
      <c r="C171" s="74">
        <f t="shared" si="9"/>
        <v>1182.4542482193563</v>
      </c>
    </row>
    <row r="172" spans="1:3" ht="45" hidden="1" x14ac:dyDescent="0.25">
      <c r="A172" s="73" t="s">
        <v>53</v>
      </c>
      <c r="B172" s="74">
        <v>11</v>
      </c>
      <c r="C172" s="74">
        <f t="shared" si="9"/>
        <v>1291.6158313548403</v>
      </c>
    </row>
    <row r="173" spans="1:3" ht="45" hidden="1" x14ac:dyDescent="0.25">
      <c r="A173" s="73" t="s">
        <v>53</v>
      </c>
      <c r="B173" s="74">
        <v>12</v>
      </c>
      <c r="C173" s="74">
        <f t="shared" si="9"/>
        <v>1400.7774144903244</v>
      </c>
    </row>
    <row r="174" spans="1:3" ht="45" hidden="1" x14ac:dyDescent="0.25">
      <c r="A174" s="73" t="s">
        <v>40</v>
      </c>
      <c r="B174" s="74">
        <v>1</v>
      </c>
      <c r="C174" s="74">
        <f t="shared" ref="C174:C185" si="10">($B$174*$B$2+($B174-1)*$B$3/$B$4*$B$2)/(1-60*0.0065/$B$3)</f>
        <v>270.27027027027026</v>
      </c>
    </row>
    <row r="175" spans="1:3" ht="45" hidden="1" x14ac:dyDescent="0.25">
      <c r="A175" s="73" t="s">
        <v>40</v>
      </c>
      <c r="B175" s="74">
        <v>2</v>
      </c>
      <c r="C175" s="74">
        <f t="shared" si="10"/>
        <v>351.35135135135135</v>
      </c>
    </row>
    <row r="176" spans="1:3" ht="45" hidden="1" x14ac:dyDescent="0.25">
      <c r="A176" s="73" t="s">
        <v>40</v>
      </c>
      <c r="B176" s="74">
        <v>3</v>
      </c>
      <c r="C176" s="74">
        <f t="shared" si="10"/>
        <v>432.43243243243245</v>
      </c>
    </row>
    <row r="177" spans="1:3" ht="45" hidden="1" x14ac:dyDescent="0.25">
      <c r="A177" s="73" t="s">
        <v>40</v>
      </c>
      <c r="B177" s="74">
        <v>4</v>
      </c>
      <c r="C177" s="74">
        <f t="shared" si="10"/>
        <v>513.51351351351354</v>
      </c>
    </row>
    <row r="178" spans="1:3" ht="45" hidden="1" x14ac:dyDescent="0.25">
      <c r="A178" s="73" t="s">
        <v>40</v>
      </c>
      <c r="B178" s="74">
        <v>5</v>
      </c>
      <c r="C178" s="74">
        <f t="shared" si="10"/>
        <v>594.59459459459458</v>
      </c>
    </row>
    <row r="179" spans="1:3" ht="45" hidden="1" x14ac:dyDescent="0.25">
      <c r="A179" s="73" t="s">
        <v>40</v>
      </c>
      <c r="B179" s="74">
        <v>6</v>
      </c>
      <c r="C179" s="74">
        <f t="shared" si="10"/>
        <v>675.67567567567573</v>
      </c>
    </row>
    <row r="180" spans="1:3" ht="45" hidden="1" x14ac:dyDescent="0.25">
      <c r="A180" s="73" t="s">
        <v>40</v>
      </c>
      <c r="B180" s="74">
        <v>7</v>
      </c>
      <c r="C180" s="74">
        <f t="shared" si="10"/>
        <v>756.75675675675677</v>
      </c>
    </row>
    <row r="181" spans="1:3" ht="45" hidden="1" x14ac:dyDescent="0.25">
      <c r="A181" s="73" t="s">
        <v>40</v>
      </c>
      <c r="B181" s="74">
        <v>8</v>
      </c>
      <c r="C181" s="74">
        <f t="shared" si="10"/>
        <v>837.83783783783781</v>
      </c>
    </row>
    <row r="182" spans="1:3" ht="45" hidden="1" x14ac:dyDescent="0.25">
      <c r="A182" s="73" t="s">
        <v>40</v>
      </c>
      <c r="B182" s="74">
        <v>9</v>
      </c>
      <c r="C182" s="74">
        <f t="shared" si="10"/>
        <v>918.91891891891896</v>
      </c>
    </row>
    <row r="183" spans="1:3" ht="45" hidden="1" x14ac:dyDescent="0.25">
      <c r="A183" s="73" t="s">
        <v>40</v>
      </c>
      <c r="B183" s="74">
        <v>10</v>
      </c>
      <c r="C183" s="74">
        <f t="shared" si="10"/>
        <v>1000</v>
      </c>
    </row>
    <row r="184" spans="1:3" ht="45" hidden="1" x14ac:dyDescent="0.25">
      <c r="A184" s="73" t="s">
        <v>40</v>
      </c>
      <c r="B184" s="74">
        <v>11</v>
      </c>
      <c r="C184" s="74">
        <f t="shared" si="10"/>
        <v>1081.081081081081</v>
      </c>
    </row>
    <row r="185" spans="1:3" ht="45" hidden="1" x14ac:dyDescent="0.25">
      <c r="A185" s="73" t="s">
        <v>40</v>
      </c>
      <c r="B185" s="74">
        <v>12</v>
      </c>
      <c r="C185" s="74">
        <f t="shared" si="10"/>
        <v>1162.1621621621621</v>
      </c>
    </row>
    <row r="186" spans="1:3" ht="45" hidden="1" x14ac:dyDescent="0.25">
      <c r="A186" s="73" t="s">
        <v>54</v>
      </c>
      <c r="B186" s="74">
        <v>1</v>
      </c>
      <c r="C186" s="74">
        <f t="shared" ref="C186:C197" si="11">C174+C162-C90</f>
        <v>270.27027027027026</v>
      </c>
    </row>
    <row r="187" spans="1:3" ht="45" hidden="1" x14ac:dyDescent="0.25">
      <c r="A187" s="73" t="s">
        <v>54</v>
      </c>
      <c r="B187" s="74">
        <v>2</v>
      </c>
      <c r="C187" s="74">
        <f t="shared" si="11"/>
        <v>400.51293448683532</v>
      </c>
    </row>
    <row r="188" spans="1:3" ht="45" hidden="1" x14ac:dyDescent="0.25">
      <c r="A188" s="73" t="s">
        <v>54</v>
      </c>
      <c r="B188" s="74">
        <v>3</v>
      </c>
      <c r="C188" s="74">
        <f t="shared" si="11"/>
        <v>530.75559870340044</v>
      </c>
    </row>
    <row r="189" spans="1:3" ht="45" hidden="1" x14ac:dyDescent="0.25">
      <c r="A189" s="73" t="s">
        <v>54</v>
      </c>
      <c r="B189" s="74">
        <v>4</v>
      </c>
      <c r="C189" s="74">
        <f t="shared" si="11"/>
        <v>660.99826291996578</v>
      </c>
    </row>
    <row r="190" spans="1:3" ht="45" hidden="1" x14ac:dyDescent="0.25">
      <c r="A190" s="73" t="s">
        <v>54</v>
      </c>
      <c r="B190" s="74">
        <v>5</v>
      </c>
      <c r="C190" s="74">
        <f t="shared" si="11"/>
        <v>791.24092713653067</v>
      </c>
    </row>
    <row r="191" spans="1:3" ht="45" hidden="1" x14ac:dyDescent="0.25">
      <c r="A191" s="73" t="s">
        <v>54</v>
      </c>
      <c r="B191" s="74">
        <v>6</v>
      </c>
      <c r="C191" s="74">
        <f t="shared" si="11"/>
        <v>921.48359135309602</v>
      </c>
    </row>
    <row r="192" spans="1:3" ht="45" hidden="1" x14ac:dyDescent="0.25">
      <c r="A192" s="73" t="s">
        <v>54</v>
      </c>
      <c r="B192" s="74">
        <v>7</v>
      </c>
      <c r="C192" s="74">
        <f t="shared" si="11"/>
        <v>1051.7262555696611</v>
      </c>
    </row>
    <row r="193" spans="1:3" ht="45" hidden="1" x14ac:dyDescent="0.25">
      <c r="A193" s="73" t="s">
        <v>54</v>
      </c>
      <c r="B193" s="74">
        <v>8</v>
      </c>
      <c r="C193" s="74">
        <f t="shared" si="11"/>
        <v>1181.968919786226</v>
      </c>
    </row>
    <row r="194" spans="1:3" ht="45" hidden="1" x14ac:dyDescent="0.25">
      <c r="A194" s="73" t="s">
        <v>54</v>
      </c>
      <c r="B194" s="74">
        <v>9</v>
      </c>
      <c r="C194" s="74">
        <f t="shared" si="11"/>
        <v>1312.2115840027911</v>
      </c>
    </row>
    <row r="195" spans="1:3" ht="45" hidden="1" x14ac:dyDescent="0.25">
      <c r="A195" s="73" t="s">
        <v>54</v>
      </c>
      <c r="B195" s="74">
        <v>10</v>
      </c>
      <c r="C195" s="74">
        <f t="shared" si="11"/>
        <v>1442.4542482193565</v>
      </c>
    </row>
    <row r="196" spans="1:3" ht="45" hidden="1" x14ac:dyDescent="0.25">
      <c r="A196" s="73" t="s">
        <v>54</v>
      </c>
      <c r="B196" s="74">
        <v>11</v>
      </c>
      <c r="C196" s="74">
        <f t="shared" si="11"/>
        <v>1572.6969124359211</v>
      </c>
    </row>
    <row r="197" spans="1:3" ht="45" hidden="1" x14ac:dyDescent="0.25">
      <c r="A197" s="73" t="s">
        <v>54</v>
      </c>
      <c r="B197" s="74">
        <v>12</v>
      </c>
      <c r="C197" s="74">
        <f t="shared" si="11"/>
        <v>1702.9395766524867</v>
      </c>
    </row>
  </sheetData>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23F39-FEF4-47CC-83E1-ADDF46CEBB37}">
  <sheetPr>
    <tabColor rgb="FF92D050"/>
  </sheetPr>
  <dimension ref="A1:M53"/>
  <sheetViews>
    <sheetView zoomScale="90" zoomScaleNormal="90" workbookViewId="0">
      <selection activeCell="E41" sqref="E41"/>
    </sheetView>
  </sheetViews>
  <sheetFormatPr defaultColWidth="8.85546875" defaultRowHeight="15" x14ac:dyDescent="0.25"/>
  <cols>
    <col min="1" max="1" width="26.85546875" style="2" customWidth="1"/>
    <col min="2" max="2" width="13.42578125" style="2" customWidth="1"/>
    <col min="3" max="3" width="22.140625" style="2" bestFit="1" customWidth="1"/>
    <col min="4" max="9" width="28.28515625" style="2" customWidth="1"/>
    <col min="10" max="10" width="28.28515625" style="3" customWidth="1"/>
    <col min="11" max="13" width="28.28515625" style="2" customWidth="1"/>
    <col min="14" max="16384" width="8.85546875" style="2"/>
  </cols>
  <sheetData>
    <row r="1" spans="1:10" s="63" customFormat="1" ht="47.25" x14ac:dyDescent="0.25">
      <c r="A1" s="78" t="s">
        <v>44</v>
      </c>
      <c r="B1" s="2"/>
      <c r="J1" s="64"/>
    </row>
    <row r="2" spans="1:10" customFormat="1" ht="15.75" x14ac:dyDescent="0.25">
      <c r="A2" s="65" t="s">
        <v>36</v>
      </c>
      <c r="B2" s="131">
        <v>200</v>
      </c>
    </row>
    <row r="3" spans="1:10" customFormat="1" ht="15.75" x14ac:dyDescent="0.25">
      <c r="A3" s="65" t="s">
        <v>38</v>
      </c>
      <c r="B3" s="130">
        <v>5</v>
      </c>
    </row>
    <row r="4" spans="1:10" customFormat="1" ht="15.75" x14ac:dyDescent="0.25">
      <c r="A4" s="65" t="s">
        <v>45</v>
      </c>
      <c r="B4" s="130">
        <v>1.5</v>
      </c>
    </row>
    <row r="5" spans="1:10" customFormat="1" x14ac:dyDescent="0.25"/>
    <row r="6" spans="1:10" customFormat="1" x14ac:dyDescent="0.25"/>
    <row r="7" spans="1:10" customFormat="1" x14ac:dyDescent="0.25"/>
    <row r="8" spans="1:10" customFormat="1" x14ac:dyDescent="0.25"/>
    <row r="9" spans="1:10" customFormat="1" x14ac:dyDescent="0.25"/>
    <row r="10" spans="1:10" customFormat="1" x14ac:dyDescent="0.25"/>
    <row r="11" spans="1:10" customFormat="1" x14ac:dyDescent="0.25"/>
    <row r="12" spans="1:10" customFormat="1" x14ac:dyDescent="0.25"/>
    <row r="13" spans="1:10" customFormat="1" x14ac:dyDescent="0.25"/>
    <row r="14" spans="1:10" customFormat="1" x14ac:dyDescent="0.25"/>
    <row r="15" spans="1:10" customFormat="1" x14ac:dyDescent="0.25"/>
    <row r="16" spans="1:10"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spans="1:13" customFormat="1" x14ac:dyDescent="0.25"/>
    <row r="34" spans="1:13" customFormat="1" x14ac:dyDescent="0.25"/>
    <row r="35" spans="1:13" customFormat="1" x14ac:dyDescent="0.25"/>
    <row r="36" spans="1:13" customFormat="1" x14ac:dyDescent="0.25"/>
    <row r="37" spans="1:13" customFormat="1" x14ac:dyDescent="0.25"/>
    <row r="38" spans="1:13" customFormat="1" ht="15.75" x14ac:dyDescent="0.25">
      <c r="A38" s="129" t="s">
        <v>80</v>
      </c>
    </row>
    <row r="39" spans="1:13" customFormat="1" ht="15.75" x14ac:dyDescent="0.25">
      <c r="A39" s="65" t="s">
        <v>39</v>
      </c>
      <c r="B39" s="66">
        <f>SQRT(B2/(PI()*B3))</f>
        <v>3.5682482323055424</v>
      </c>
    </row>
    <row r="40" spans="1:13" customFormat="1" x14ac:dyDescent="0.25">
      <c r="A40" s="2"/>
      <c r="B40" s="2"/>
    </row>
    <row r="41" spans="1:13" s="62" customFormat="1" ht="57.75" customHeight="1" x14ac:dyDescent="0.25">
      <c r="A41" s="80" t="s">
        <v>31</v>
      </c>
      <c r="B41" s="77" t="s">
        <v>48</v>
      </c>
      <c r="C41" s="77" t="s">
        <v>49</v>
      </c>
      <c r="D41" s="77" t="s">
        <v>50</v>
      </c>
      <c r="E41" s="77" t="s">
        <v>35</v>
      </c>
      <c r="F41" s="77" t="s">
        <v>51</v>
      </c>
      <c r="G41" s="77" t="s">
        <v>52</v>
      </c>
      <c r="H41" s="77" t="s">
        <v>34</v>
      </c>
      <c r="I41" s="77" t="s">
        <v>32</v>
      </c>
      <c r="J41" s="72" t="s">
        <v>33</v>
      </c>
      <c r="K41" s="77" t="s">
        <v>53</v>
      </c>
      <c r="L41" s="77" t="s">
        <v>40</v>
      </c>
      <c r="M41" s="79" t="s">
        <v>54</v>
      </c>
    </row>
    <row r="42" spans="1:13" x14ac:dyDescent="0.25">
      <c r="A42" s="67">
        <v>1</v>
      </c>
      <c r="B42" s="132">
        <f t="shared" ref="B42:B53" si="0">($A42*$B$2+($A42-1)*$B$4/$B$3*$B$2)/$B$4</f>
        <v>133.33333333333334</v>
      </c>
      <c r="C42" s="132">
        <f t="shared" ref="C42:C53" si="1">(0.5*$A42*$B$2+($A42-1)*$B$4/$B$3*$B$2)/$B$4</f>
        <v>66.666666666666671</v>
      </c>
      <c r="D42" s="132">
        <f t="shared" ref="D42:D53" si="2">($A$42*$B$2+($A42-1)*0.25*$B$2+($A42-1)*$B$4/$B$3*$B$2)/$B$4</f>
        <v>133.33333333333334</v>
      </c>
      <c r="E42" s="133">
        <f t="shared" ref="E42:E53" si="3">($A$42*$B$2+($A42-1)*$B$4/$B$3*$B$2)/$B$4</f>
        <v>133.33333333333334</v>
      </c>
      <c r="F42" s="143">
        <f t="shared" ref="F42:F53" si="4">($A$42*1.1*$B$2+($A42-1)*$B$4/$B$3*$B$2)/$B$4</f>
        <v>146.66666666666669</v>
      </c>
      <c r="G42" s="143">
        <f t="shared" ref="G42:G53" si="5">(($B$2+($A42-1)*($B$4)/$B$3*$B$2)+(0.25*($B$2+($A42-1)*($B$4)/$B$3*$B$2)/($B$4-0.25)))/$B$4</f>
        <v>160</v>
      </c>
      <c r="H42" s="132">
        <f t="shared" ref="H42:H53" si="6">(A42*$B$2)/$B$4</f>
        <v>133.33333333333334</v>
      </c>
      <c r="I42" s="132">
        <f t="shared" ref="I42:I53" si="7">(0.5*A42*$B$2)/$B$4</f>
        <v>66.666666666666671</v>
      </c>
      <c r="J42" s="134">
        <f t="shared" ref="J42:J53" si="8">($B$2+0.25*($A42-1)*$B$2)/$B$4</f>
        <v>133.33333333333334</v>
      </c>
      <c r="K42" s="132">
        <f t="shared" ref="K42:K53" si="9">($A$42*$B$2+($A42-1)*$B$4/$B$3*$B$2+($A42-1)*4*60*0.002*(2*PI()*$B$39+2*PI()*$B$39*$B$39))/$B$4</f>
        <v>133.33333333333334</v>
      </c>
      <c r="L42" s="132">
        <f t="shared" ref="L42:L53" si="10">(($A$42*$B$2+($A42-1)*$B$4/$B$3*$B$2)/(1-60*0.0065/$B$4))/$B$4</f>
        <v>180.18018018018017</v>
      </c>
      <c r="M42" s="132">
        <f t="shared" ref="M42:M53" si="11">L42+K42-E42</f>
        <v>180.1801801801802</v>
      </c>
    </row>
    <row r="43" spans="1:13" x14ac:dyDescent="0.25">
      <c r="A43" s="67">
        <v>2</v>
      </c>
      <c r="B43" s="132">
        <f t="shared" si="0"/>
        <v>306.66666666666669</v>
      </c>
      <c r="C43" s="132">
        <f t="shared" si="1"/>
        <v>173.33333333333334</v>
      </c>
      <c r="D43" s="132">
        <f t="shared" si="2"/>
        <v>206.66666666666666</v>
      </c>
      <c r="E43" s="133">
        <f t="shared" si="3"/>
        <v>173.33333333333334</v>
      </c>
      <c r="F43" s="132">
        <f t="shared" si="4"/>
        <v>186.66666666666666</v>
      </c>
      <c r="G43" s="132">
        <f t="shared" si="5"/>
        <v>208</v>
      </c>
      <c r="H43" s="132">
        <f t="shared" si="6"/>
        <v>266.66666666666669</v>
      </c>
      <c r="I43" s="132">
        <f t="shared" si="7"/>
        <v>133.33333333333334</v>
      </c>
      <c r="J43" s="134">
        <f t="shared" si="8"/>
        <v>166.66666666666666</v>
      </c>
      <c r="K43" s="132">
        <f t="shared" si="9"/>
        <v>206.10772209032268</v>
      </c>
      <c r="L43" s="132">
        <f t="shared" si="10"/>
        <v>234.23423423423424</v>
      </c>
      <c r="M43" s="132">
        <f t="shared" si="11"/>
        <v>267.00862299122355</v>
      </c>
    </row>
    <row r="44" spans="1:13" x14ac:dyDescent="0.25">
      <c r="A44" s="67">
        <v>3</v>
      </c>
      <c r="B44" s="132">
        <f t="shared" si="0"/>
        <v>480</v>
      </c>
      <c r="C44" s="132">
        <f t="shared" si="1"/>
        <v>280</v>
      </c>
      <c r="D44" s="132">
        <f t="shared" si="2"/>
        <v>280</v>
      </c>
      <c r="E44" s="133">
        <f t="shared" si="3"/>
        <v>213.33333333333334</v>
      </c>
      <c r="F44" s="132">
        <f t="shared" si="4"/>
        <v>226.66666666666666</v>
      </c>
      <c r="G44" s="132">
        <f t="shared" si="5"/>
        <v>256</v>
      </c>
      <c r="H44" s="132">
        <f t="shared" si="6"/>
        <v>400</v>
      </c>
      <c r="I44" s="132">
        <f t="shared" si="7"/>
        <v>200</v>
      </c>
      <c r="J44" s="134">
        <f t="shared" si="8"/>
        <v>200</v>
      </c>
      <c r="K44" s="132">
        <f t="shared" si="9"/>
        <v>278.88211084731205</v>
      </c>
      <c r="L44" s="132">
        <f t="shared" si="10"/>
        <v>288.2882882882883</v>
      </c>
      <c r="M44" s="132">
        <f t="shared" si="11"/>
        <v>353.83706580226692</v>
      </c>
    </row>
    <row r="45" spans="1:13" x14ac:dyDescent="0.25">
      <c r="A45" s="67">
        <v>4</v>
      </c>
      <c r="B45" s="132">
        <f t="shared" si="0"/>
        <v>653.33333333333337</v>
      </c>
      <c r="C45" s="132">
        <f t="shared" si="1"/>
        <v>386.66666666666669</v>
      </c>
      <c r="D45" s="132">
        <f t="shared" si="2"/>
        <v>353.33333333333331</v>
      </c>
      <c r="E45" s="133">
        <f t="shared" si="3"/>
        <v>253.33333333333334</v>
      </c>
      <c r="F45" s="132">
        <f t="shared" si="4"/>
        <v>266.66666666666669</v>
      </c>
      <c r="G45" s="132">
        <f t="shared" si="5"/>
        <v>304</v>
      </c>
      <c r="H45" s="132">
        <f t="shared" si="6"/>
        <v>533.33333333333337</v>
      </c>
      <c r="I45" s="132">
        <f t="shared" si="7"/>
        <v>266.66666666666669</v>
      </c>
      <c r="J45" s="134">
        <f t="shared" si="8"/>
        <v>233.33333333333334</v>
      </c>
      <c r="K45" s="132">
        <f t="shared" si="9"/>
        <v>351.65649960430142</v>
      </c>
      <c r="L45" s="132">
        <f t="shared" si="10"/>
        <v>342.34234234234236</v>
      </c>
      <c r="M45" s="132">
        <f t="shared" si="11"/>
        <v>440.66550861331041</v>
      </c>
    </row>
    <row r="46" spans="1:13" x14ac:dyDescent="0.25">
      <c r="A46" s="67">
        <v>5</v>
      </c>
      <c r="B46" s="132">
        <f t="shared" si="0"/>
        <v>826.66666666666663</v>
      </c>
      <c r="C46" s="132">
        <f t="shared" si="1"/>
        <v>493.33333333333331</v>
      </c>
      <c r="D46" s="132">
        <f t="shared" si="2"/>
        <v>426.66666666666669</v>
      </c>
      <c r="E46" s="133">
        <f t="shared" si="3"/>
        <v>293.33333333333331</v>
      </c>
      <c r="F46" s="132">
        <f t="shared" si="4"/>
        <v>306.66666666666669</v>
      </c>
      <c r="G46" s="132">
        <f t="shared" si="5"/>
        <v>352</v>
      </c>
      <c r="H46" s="132">
        <f t="shared" si="6"/>
        <v>666.66666666666663</v>
      </c>
      <c r="I46" s="132">
        <f t="shared" si="7"/>
        <v>333.33333333333331</v>
      </c>
      <c r="J46" s="134">
        <f t="shared" si="8"/>
        <v>266.66666666666669</v>
      </c>
      <c r="K46" s="132">
        <f t="shared" si="9"/>
        <v>424.43088836129073</v>
      </c>
      <c r="L46" s="132">
        <f t="shared" si="10"/>
        <v>396.39639639639637</v>
      </c>
      <c r="M46" s="132">
        <f t="shared" si="11"/>
        <v>527.49395142435378</v>
      </c>
    </row>
    <row r="47" spans="1:13" x14ac:dyDescent="0.25">
      <c r="A47" s="67">
        <v>6</v>
      </c>
      <c r="B47" s="132">
        <f t="shared" si="0"/>
        <v>1000</v>
      </c>
      <c r="C47" s="132">
        <f t="shared" si="1"/>
        <v>600</v>
      </c>
      <c r="D47" s="132">
        <f t="shared" si="2"/>
        <v>500</v>
      </c>
      <c r="E47" s="133">
        <f t="shared" si="3"/>
        <v>333.33333333333331</v>
      </c>
      <c r="F47" s="132">
        <f t="shared" si="4"/>
        <v>346.66666666666669</v>
      </c>
      <c r="G47" s="132">
        <f t="shared" si="5"/>
        <v>400</v>
      </c>
      <c r="H47" s="132">
        <f t="shared" si="6"/>
        <v>800</v>
      </c>
      <c r="I47" s="132">
        <f t="shared" si="7"/>
        <v>400</v>
      </c>
      <c r="J47" s="134">
        <f t="shared" si="8"/>
        <v>300</v>
      </c>
      <c r="K47" s="132">
        <f t="shared" si="9"/>
        <v>497.20527711828009</v>
      </c>
      <c r="L47" s="132">
        <f t="shared" si="10"/>
        <v>450.45045045045049</v>
      </c>
      <c r="M47" s="132">
        <f t="shared" si="11"/>
        <v>614.32239423539727</v>
      </c>
    </row>
    <row r="48" spans="1:13" x14ac:dyDescent="0.25">
      <c r="A48" s="67">
        <v>7</v>
      </c>
      <c r="B48" s="132">
        <f t="shared" si="0"/>
        <v>1173.3333333333333</v>
      </c>
      <c r="C48" s="132">
        <f t="shared" si="1"/>
        <v>706.66666666666663</v>
      </c>
      <c r="D48" s="132">
        <f t="shared" si="2"/>
        <v>573.33333333333337</v>
      </c>
      <c r="E48" s="133">
        <f t="shared" si="3"/>
        <v>373.33333333333331</v>
      </c>
      <c r="F48" s="132">
        <f t="shared" si="4"/>
        <v>386.66666666666669</v>
      </c>
      <c r="G48" s="132">
        <f t="shared" si="5"/>
        <v>448</v>
      </c>
      <c r="H48" s="132">
        <f t="shared" si="6"/>
        <v>933.33333333333337</v>
      </c>
      <c r="I48" s="132">
        <f t="shared" si="7"/>
        <v>466.66666666666669</v>
      </c>
      <c r="J48" s="134">
        <f t="shared" si="8"/>
        <v>333.33333333333331</v>
      </c>
      <c r="K48" s="132">
        <f t="shared" si="9"/>
        <v>569.97966587526946</v>
      </c>
      <c r="L48" s="132">
        <f t="shared" si="10"/>
        <v>504.5045045045045</v>
      </c>
      <c r="M48" s="132">
        <f t="shared" si="11"/>
        <v>701.15083704644076</v>
      </c>
    </row>
    <row r="49" spans="1:13" x14ac:dyDescent="0.25">
      <c r="A49" s="67">
        <v>8</v>
      </c>
      <c r="B49" s="132">
        <f t="shared" si="0"/>
        <v>1346.6666666666667</v>
      </c>
      <c r="C49" s="132">
        <f t="shared" si="1"/>
        <v>813.33333333333337</v>
      </c>
      <c r="D49" s="132">
        <f t="shared" si="2"/>
        <v>646.66666666666663</v>
      </c>
      <c r="E49" s="133">
        <f t="shared" si="3"/>
        <v>413.33333333333331</v>
      </c>
      <c r="F49" s="132">
        <f t="shared" si="4"/>
        <v>426.66666666666669</v>
      </c>
      <c r="G49" s="132">
        <f t="shared" si="5"/>
        <v>496</v>
      </c>
      <c r="H49" s="132">
        <f t="shared" si="6"/>
        <v>1066.6666666666667</v>
      </c>
      <c r="I49" s="132">
        <f t="shared" si="7"/>
        <v>533.33333333333337</v>
      </c>
      <c r="J49" s="134">
        <f t="shared" si="8"/>
        <v>366.66666666666669</v>
      </c>
      <c r="K49" s="132">
        <f t="shared" si="9"/>
        <v>642.75405463225877</v>
      </c>
      <c r="L49" s="132">
        <f t="shared" si="10"/>
        <v>558.5585585585585</v>
      </c>
      <c r="M49" s="132">
        <f t="shared" si="11"/>
        <v>787.97927985748402</v>
      </c>
    </row>
    <row r="50" spans="1:13" x14ac:dyDescent="0.25">
      <c r="A50" s="67">
        <v>9</v>
      </c>
      <c r="B50" s="132">
        <f t="shared" si="0"/>
        <v>1520</v>
      </c>
      <c r="C50" s="132">
        <f t="shared" si="1"/>
        <v>920</v>
      </c>
      <c r="D50" s="132">
        <f t="shared" si="2"/>
        <v>720</v>
      </c>
      <c r="E50" s="133">
        <f t="shared" si="3"/>
        <v>453.33333333333331</v>
      </c>
      <c r="F50" s="132">
        <f t="shared" si="4"/>
        <v>466.66666666666669</v>
      </c>
      <c r="G50" s="132">
        <f t="shared" si="5"/>
        <v>544</v>
      </c>
      <c r="H50" s="132">
        <f t="shared" si="6"/>
        <v>1200</v>
      </c>
      <c r="I50" s="132">
        <f t="shared" si="7"/>
        <v>600</v>
      </c>
      <c r="J50" s="134">
        <f t="shared" si="8"/>
        <v>400</v>
      </c>
      <c r="K50" s="132">
        <f t="shared" si="9"/>
        <v>715.52844338924808</v>
      </c>
      <c r="L50" s="132">
        <f t="shared" si="10"/>
        <v>612.61261261261268</v>
      </c>
      <c r="M50" s="132">
        <f t="shared" si="11"/>
        <v>874.8077226685275</v>
      </c>
    </row>
    <row r="51" spans="1:13" x14ac:dyDescent="0.25">
      <c r="A51" s="67">
        <v>10</v>
      </c>
      <c r="B51" s="132">
        <f t="shared" si="0"/>
        <v>1693.3333333333333</v>
      </c>
      <c r="C51" s="132">
        <f t="shared" si="1"/>
        <v>1026.6666666666667</v>
      </c>
      <c r="D51" s="132">
        <f t="shared" si="2"/>
        <v>793.33333333333337</v>
      </c>
      <c r="E51" s="133">
        <f t="shared" si="3"/>
        <v>493.33333333333331</v>
      </c>
      <c r="F51" s="132">
        <f t="shared" si="4"/>
        <v>506.66666666666669</v>
      </c>
      <c r="G51" s="132">
        <f t="shared" si="5"/>
        <v>592</v>
      </c>
      <c r="H51" s="132">
        <f t="shared" si="6"/>
        <v>1333.3333333333333</v>
      </c>
      <c r="I51" s="132">
        <f t="shared" si="7"/>
        <v>666.66666666666663</v>
      </c>
      <c r="J51" s="134">
        <f t="shared" si="8"/>
        <v>433.33333333333331</v>
      </c>
      <c r="K51" s="132">
        <f t="shared" si="9"/>
        <v>788.30283214623751</v>
      </c>
      <c r="L51" s="132">
        <f t="shared" si="10"/>
        <v>666.66666666666663</v>
      </c>
      <c r="M51" s="132">
        <f t="shared" si="11"/>
        <v>961.63616547957076</v>
      </c>
    </row>
    <row r="52" spans="1:13" x14ac:dyDescent="0.25">
      <c r="A52" s="67">
        <v>11</v>
      </c>
      <c r="B52" s="132">
        <f t="shared" si="0"/>
        <v>1866.6666666666667</v>
      </c>
      <c r="C52" s="132">
        <f t="shared" si="1"/>
        <v>1133.3333333333333</v>
      </c>
      <c r="D52" s="132">
        <f t="shared" si="2"/>
        <v>866.66666666666663</v>
      </c>
      <c r="E52" s="133">
        <f t="shared" si="3"/>
        <v>533.33333333333337</v>
      </c>
      <c r="F52" s="132">
        <f t="shared" si="4"/>
        <v>546.66666666666663</v>
      </c>
      <c r="G52" s="132">
        <f t="shared" si="5"/>
        <v>640</v>
      </c>
      <c r="H52" s="132">
        <f t="shared" si="6"/>
        <v>1466.6666666666667</v>
      </c>
      <c r="I52" s="132">
        <f t="shared" si="7"/>
        <v>733.33333333333337</v>
      </c>
      <c r="J52" s="134">
        <f t="shared" si="8"/>
        <v>466.66666666666669</v>
      </c>
      <c r="K52" s="132">
        <f t="shared" si="9"/>
        <v>861.07722090322693</v>
      </c>
      <c r="L52" s="132">
        <f t="shared" si="10"/>
        <v>720.72072072072069</v>
      </c>
      <c r="M52" s="132">
        <f t="shared" si="11"/>
        <v>1048.4646082906143</v>
      </c>
    </row>
    <row r="53" spans="1:13" x14ac:dyDescent="0.25">
      <c r="A53" s="67">
        <v>12</v>
      </c>
      <c r="B53" s="132">
        <f t="shared" si="0"/>
        <v>2040</v>
      </c>
      <c r="C53" s="132">
        <f t="shared" si="1"/>
        <v>1240</v>
      </c>
      <c r="D53" s="132">
        <f t="shared" si="2"/>
        <v>940</v>
      </c>
      <c r="E53" s="133">
        <f t="shared" si="3"/>
        <v>573.33333333333337</v>
      </c>
      <c r="F53" s="138">
        <f t="shared" si="4"/>
        <v>586.66666666666663</v>
      </c>
      <c r="G53" s="138">
        <f t="shared" si="5"/>
        <v>688</v>
      </c>
      <c r="H53" s="132">
        <f t="shared" si="6"/>
        <v>1600</v>
      </c>
      <c r="I53" s="132">
        <f t="shared" si="7"/>
        <v>800</v>
      </c>
      <c r="J53" s="134">
        <f t="shared" si="8"/>
        <v>500</v>
      </c>
      <c r="K53" s="132">
        <f t="shared" si="9"/>
        <v>933.85160966021624</v>
      </c>
      <c r="L53" s="132">
        <f t="shared" si="10"/>
        <v>774.77477477477476</v>
      </c>
      <c r="M53" s="132">
        <f t="shared" si="11"/>
        <v>1135.2930511016575</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CCE70-4A71-400B-BF0D-EF08B5960325}">
  <sheetPr>
    <tabColor theme="6"/>
  </sheetPr>
  <dimension ref="A1:O29"/>
  <sheetViews>
    <sheetView zoomScaleNormal="100" workbookViewId="0">
      <selection activeCell="L2" sqref="L2"/>
    </sheetView>
  </sheetViews>
  <sheetFormatPr defaultColWidth="9.140625"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28515625" style="2" bestFit="1" customWidth="1"/>
    <col min="8" max="9" width="13.7109375" style="2" customWidth="1"/>
    <col min="10" max="11" width="18.42578125" style="2" customWidth="1"/>
    <col min="12" max="12" width="16.42578125" style="2" customWidth="1"/>
    <col min="13" max="14" width="13.7109375" style="2" customWidth="1"/>
    <col min="15" max="15" width="10.140625" style="2" bestFit="1" customWidth="1"/>
    <col min="16" max="16384" width="9.140625" style="2"/>
  </cols>
  <sheetData>
    <row r="1" spans="1:15" ht="15.75" thickBot="1" x14ac:dyDescent="0.3">
      <c r="L1" s="150" t="s">
        <v>30</v>
      </c>
    </row>
    <row r="2" spans="1:15" ht="15.75" customHeight="1" thickBot="1" x14ac:dyDescent="0.3">
      <c r="A2" s="146" t="s">
        <v>26</v>
      </c>
      <c r="B2" s="155"/>
      <c r="C2" s="155"/>
      <c r="D2" s="155"/>
      <c r="E2" s="155"/>
      <c r="F2" s="155"/>
      <c r="G2" s="155"/>
      <c r="H2" s="155"/>
      <c r="I2" s="155"/>
      <c r="J2" s="155"/>
      <c r="K2" s="155"/>
      <c r="L2" s="148">
        <v>0.25</v>
      </c>
      <c r="M2" s="155"/>
      <c r="N2" s="155"/>
      <c r="O2" s="156"/>
    </row>
    <row r="3" spans="1:15" ht="45.75" thickBot="1" x14ac:dyDescent="0.3">
      <c r="A3" s="25" t="s">
        <v>16</v>
      </c>
      <c r="B3" s="26" t="s">
        <v>15</v>
      </c>
      <c r="C3" s="86" t="s">
        <v>56</v>
      </c>
      <c r="D3" s="86" t="s">
        <v>57</v>
      </c>
      <c r="E3" s="26" t="s">
        <v>14</v>
      </c>
      <c r="F3" s="26" t="s">
        <v>13</v>
      </c>
      <c r="G3" s="35" t="s">
        <v>12</v>
      </c>
      <c r="H3" s="151" t="s">
        <v>11</v>
      </c>
      <c r="I3" s="145" t="s">
        <v>10</v>
      </c>
      <c r="J3" s="145" t="s">
        <v>7</v>
      </c>
      <c r="K3" s="145" t="s">
        <v>58</v>
      </c>
      <c r="L3" s="152" t="s">
        <v>81</v>
      </c>
      <c r="M3" s="153" t="s">
        <v>9</v>
      </c>
      <c r="N3" s="145" t="s">
        <v>8</v>
      </c>
      <c r="O3" s="154" t="s">
        <v>22</v>
      </c>
    </row>
    <row r="4" spans="1:15" x14ac:dyDescent="0.25">
      <c r="A4" s="179" t="s">
        <v>6</v>
      </c>
      <c r="B4" s="4" t="s">
        <v>23</v>
      </c>
      <c r="C4" s="5">
        <v>200</v>
      </c>
      <c r="D4" s="7">
        <f>C4</f>
        <v>200</v>
      </c>
      <c r="E4" s="6">
        <f>2.5*F4</f>
        <v>5.4192607013928908</v>
      </c>
      <c r="F4" s="6">
        <f>(C4/(2.5*2.5*PI()))^(1/3)</f>
        <v>2.1677042805571562</v>
      </c>
      <c r="G4" s="28">
        <f>0.1*F4</f>
        <v>0.21677042805571564</v>
      </c>
      <c r="H4" s="30">
        <f>C4</f>
        <v>200</v>
      </c>
      <c r="I4" s="7">
        <f>C4*1.1</f>
        <v>220.00000000000003</v>
      </c>
      <c r="J4" s="7">
        <f>C4</f>
        <v>200</v>
      </c>
      <c r="K4" s="7">
        <f t="shared" ref="K4:K7" si="0">I4</f>
        <v>220.00000000000003</v>
      </c>
      <c r="L4" s="43" t="str">
        <f>IF(C4+$L$2*C4/(G4-$L$2)&lt;0,"Niet mogelijk",C4+$L$2*C4/(G4-$L$2))</f>
        <v>Niet mogelijk</v>
      </c>
      <c r="M4" s="7"/>
      <c r="N4" s="7"/>
      <c r="O4" s="8">
        <f>H4</f>
        <v>200</v>
      </c>
    </row>
    <row r="5" spans="1:15" ht="15.75" thickBot="1" x14ac:dyDescent="0.3">
      <c r="A5" s="180"/>
      <c r="B5" s="15" t="s">
        <v>0</v>
      </c>
      <c r="C5" s="16">
        <f t="shared" ref="C5:C15" si="1">C4</f>
        <v>200</v>
      </c>
      <c r="D5" s="16">
        <f t="shared" ref="D5:D7" si="2">C5</f>
        <v>200</v>
      </c>
      <c r="E5" s="17">
        <f>2.5*F5</f>
        <v>5.4192607013928908</v>
      </c>
      <c r="F5" s="17">
        <f>(C5/(2.5*2.5*PI()))^(1/3)</f>
        <v>2.1677042805571562</v>
      </c>
      <c r="G5" s="29">
        <f>0.4*F5</f>
        <v>0.86708171222286257</v>
      </c>
      <c r="H5" s="31">
        <f>C5</f>
        <v>200</v>
      </c>
      <c r="I5" s="16">
        <f>C5*1.1</f>
        <v>220.00000000000003</v>
      </c>
      <c r="J5" s="16">
        <f t="shared" ref="J5:J7" si="3">C5</f>
        <v>200</v>
      </c>
      <c r="K5" s="16">
        <f t="shared" si="0"/>
        <v>220.00000000000003</v>
      </c>
      <c r="L5" s="44">
        <f>IF(C5+$L$2*C5/(G5-$L$2)&lt;0,"Niet mogelijk",C5+$L$2*C5/(G5-$L$2))</f>
        <v>281.02654641941848</v>
      </c>
      <c r="M5" s="16"/>
      <c r="N5" s="16"/>
      <c r="O5" s="18">
        <f t="shared" ref="O5:O7" si="4">H5</f>
        <v>200</v>
      </c>
    </row>
    <row r="6" spans="1:15" x14ac:dyDescent="0.25">
      <c r="A6" s="181" t="s">
        <v>5</v>
      </c>
      <c r="B6" s="4" t="s">
        <v>23</v>
      </c>
      <c r="C6" s="7">
        <f t="shared" si="1"/>
        <v>200</v>
      </c>
      <c r="D6" s="7">
        <f t="shared" si="2"/>
        <v>200</v>
      </c>
      <c r="E6" s="6">
        <f>0.25*F6</f>
        <v>2.5153979958021795</v>
      </c>
      <c r="F6" s="6">
        <f>(C6/(0.25*0.25*PI()))^(1/3)</f>
        <v>10.061591983208718</v>
      </c>
      <c r="G6" s="28">
        <f>0.1*F6</f>
        <v>1.0061591983208718</v>
      </c>
      <c r="H6" s="30">
        <f>C6</f>
        <v>200</v>
      </c>
      <c r="I6" s="7">
        <f>C6*1.1</f>
        <v>220.00000000000003</v>
      </c>
      <c r="J6" s="7">
        <f t="shared" si="3"/>
        <v>200</v>
      </c>
      <c r="K6" s="7">
        <f t="shared" si="0"/>
        <v>220.00000000000003</v>
      </c>
      <c r="L6" s="43">
        <f>IF(C6+$L$2*C6/(G6-$L$2)&lt;0,"Niet mogelijk",C6+$L$2*C6/(G6-$L$2))</f>
        <v>266.1236418349867</v>
      </c>
      <c r="M6" s="7"/>
      <c r="N6" s="7"/>
      <c r="O6" s="8">
        <f t="shared" si="4"/>
        <v>200</v>
      </c>
    </row>
    <row r="7" spans="1:15" ht="15.75" thickBot="1" x14ac:dyDescent="0.3">
      <c r="A7" s="182"/>
      <c r="B7" s="9" t="s">
        <v>0</v>
      </c>
      <c r="C7" s="10">
        <f t="shared" si="1"/>
        <v>200</v>
      </c>
      <c r="D7" s="10">
        <f t="shared" si="2"/>
        <v>200</v>
      </c>
      <c r="E7" s="11">
        <f>0.25*F7</f>
        <v>2.5153979958021795</v>
      </c>
      <c r="F7" s="11">
        <f>(C7/(0.25*0.25*PI()))^(1/3)</f>
        <v>10.061591983208718</v>
      </c>
      <c r="G7" s="29">
        <f>0.4*F7</f>
        <v>4.024636793283487</v>
      </c>
      <c r="H7" s="32">
        <f>C7</f>
        <v>200</v>
      </c>
      <c r="I7" s="10">
        <f>C7*1.1</f>
        <v>220.00000000000003</v>
      </c>
      <c r="J7" s="10">
        <f t="shared" si="3"/>
        <v>200</v>
      </c>
      <c r="K7" s="10">
        <f t="shared" si="0"/>
        <v>220.00000000000003</v>
      </c>
      <c r="L7" s="45">
        <f>IF(C7+$L$2*C7/(G7-$L$2)&lt;0,"Niet mogelijk",C7+$L$2*C7/(G7-$L$2))</f>
        <v>213.24630758884379</v>
      </c>
      <c r="M7" s="10"/>
      <c r="N7" s="10"/>
      <c r="O7" s="12">
        <f t="shared" si="4"/>
        <v>200</v>
      </c>
    </row>
    <row r="8" spans="1:15" s="3" customFormat="1" x14ac:dyDescent="0.25">
      <c r="A8" s="177" t="s">
        <v>4</v>
      </c>
      <c r="B8" s="4" t="s">
        <v>23</v>
      </c>
      <c r="C8" s="7">
        <f t="shared" si="1"/>
        <v>200</v>
      </c>
      <c r="D8" s="7">
        <f>2*C8</f>
        <v>400</v>
      </c>
      <c r="E8" s="19">
        <f>F8</f>
        <v>3.9929454246550797</v>
      </c>
      <c r="F8" s="19">
        <f>(C8/(1*1*PI()))^(1/3)</f>
        <v>3.9929454246550797</v>
      </c>
      <c r="G8" s="28">
        <f>0.1*F8</f>
        <v>0.399294542465508</v>
      </c>
      <c r="H8" s="30">
        <f>C8+G8*C8/F8</f>
        <v>220</v>
      </c>
      <c r="I8" s="7">
        <f>C8*1.1+G8*C8/F8</f>
        <v>240.00000000000003</v>
      </c>
      <c r="J8" s="7">
        <f>($C8*1.25+G8*C8/F8)</f>
        <v>270</v>
      </c>
      <c r="K8" s="7">
        <f t="shared" ref="K8:K11" si="5">I8+1*0.1*C8</f>
        <v>260</v>
      </c>
      <c r="L8" s="43">
        <f>IF(C8+G8*C8/F8+($L$2*(C8+G8*C8/F8)/(G8-$L$2))&lt;=0,"Niet mogelijk",C8+G8*C8/F8+($L$2*(C8+G8*C8/F8)/(G8-$L$2)))</f>
        <v>588.39926692368431</v>
      </c>
      <c r="M8" s="7">
        <f>((0.25*$C8*2)+$G8*$C8/$F8)</f>
        <v>120</v>
      </c>
      <c r="N8" s="7">
        <f>((0.5*C8*2)+G8*C8/F8)</f>
        <v>220</v>
      </c>
      <c r="O8" s="8">
        <f>(($C8*2)+$G8*$C8/$F8)</f>
        <v>420</v>
      </c>
    </row>
    <row r="9" spans="1:15" s="3" customFormat="1" ht="15.75" thickBot="1" x14ac:dyDescent="0.3">
      <c r="A9" s="178"/>
      <c r="B9" s="20" t="s">
        <v>0</v>
      </c>
      <c r="C9" s="10">
        <f t="shared" si="1"/>
        <v>200</v>
      </c>
      <c r="D9" s="10">
        <f>2*C9</f>
        <v>400</v>
      </c>
      <c r="E9" s="13">
        <f>F9</f>
        <v>3.9929454246550797</v>
      </c>
      <c r="F9" s="13">
        <f>(C9/(1*1*PI()))^(1/3)</f>
        <v>3.9929454246550797</v>
      </c>
      <c r="G9" s="29">
        <f>0.4*F9</f>
        <v>1.597178169862032</v>
      </c>
      <c r="H9" s="32">
        <f>C9+G9*C9/F9</f>
        <v>280</v>
      </c>
      <c r="I9" s="10">
        <f>C9*1.1+G9*C9/F9</f>
        <v>300</v>
      </c>
      <c r="J9" s="10">
        <f>($C9*1.25+G9*C9/F9)</f>
        <v>330</v>
      </c>
      <c r="K9" s="10">
        <f t="shared" si="5"/>
        <v>320</v>
      </c>
      <c r="L9" s="45">
        <f>IF(C9+G9*C9/F9+($L$2*(C9+G9*C9/F9)/(G9-$L$2))&lt;=0,"Niet mogelijk",C9+G9*C9/F9+($L$2*(C9+G9*C9/F9)/(G9-$L$2)))</f>
        <v>331.96046192402957</v>
      </c>
      <c r="M9" s="10">
        <f>((0.25*$C9*2)+$G9*$C9/$F9)</f>
        <v>180</v>
      </c>
      <c r="N9" s="10">
        <f>((0.5*C9*2)+G9*C9/F9)</f>
        <v>280</v>
      </c>
      <c r="O9" s="12">
        <f>(($C9*2)+$G9*$C9/$F9)</f>
        <v>480</v>
      </c>
    </row>
    <row r="10" spans="1:15" s="3" customFormat="1" x14ac:dyDescent="0.25">
      <c r="A10" s="177" t="s">
        <v>3</v>
      </c>
      <c r="B10" s="4" t="s">
        <v>23</v>
      </c>
      <c r="C10" s="7">
        <f t="shared" si="1"/>
        <v>200</v>
      </c>
      <c r="D10" s="7">
        <f>2*C10</f>
        <v>400</v>
      </c>
      <c r="E10" s="19">
        <f>0.5*F10</f>
        <v>3.1692028837745414</v>
      </c>
      <c r="F10" s="19">
        <f>(C10/(0.5*0.5*PI()))^(1/3)</f>
        <v>6.3384057675490828</v>
      </c>
      <c r="G10" s="28">
        <f>0.1*F10</f>
        <v>0.63384057675490835</v>
      </c>
      <c r="H10" s="33">
        <f>C10+G10*C10/F10</f>
        <v>220</v>
      </c>
      <c r="I10" s="21">
        <f>C10*1.1+G10*C10/F10</f>
        <v>240.00000000000003</v>
      </c>
      <c r="J10" s="21">
        <f>($C10*1.25+G10*C10/F10)</f>
        <v>270</v>
      </c>
      <c r="K10" s="21">
        <f t="shared" si="5"/>
        <v>260</v>
      </c>
      <c r="L10" s="46">
        <f>IF(C10+G10*C10/F10+($L$2*(C10+G10*C10/F10)/(G10-$L$2))&lt;=0,"Niet mogelijk",C10+G10*C10/F10+($L$2*(C10+G10*C10/F10)/(G10-$L$2)))</f>
        <v>363.28865505826616</v>
      </c>
      <c r="M10" s="21">
        <f>((0.25*$C10*2)+$G10*$C10/$F10)</f>
        <v>120</v>
      </c>
      <c r="N10" s="21">
        <f>((0.5*C10*2)+G10*C10/F10)</f>
        <v>220</v>
      </c>
      <c r="O10" s="22">
        <f>(($C10*2)+$G10*$C10/$F10)</f>
        <v>420</v>
      </c>
    </row>
    <row r="11" spans="1:15" s="3" customFormat="1" ht="15.75" thickBot="1" x14ac:dyDescent="0.3">
      <c r="A11" s="178"/>
      <c r="B11" s="20" t="s">
        <v>0</v>
      </c>
      <c r="C11" s="10">
        <f t="shared" si="1"/>
        <v>200</v>
      </c>
      <c r="D11" s="10">
        <f>2*C11</f>
        <v>400</v>
      </c>
      <c r="E11" s="13">
        <f>0.5*F11</f>
        <v>3.1692028837745414</v>
      </c>
      <c r="F11" s="13">
        <f>(C11/(0.5*0.5*PI()))^(1/3)</f>
        <v>6.3384057675490828</v>
      </c>
      <c r="G11" s="29">
        <f>0.4*F11</f>
        <v>2.5353623070196334</v>
      </c>
      <c r="H11" s="34">
        <f>C11+G11*C11/F11</f>
        <v>280</v>
      </c>
      <c r="I11" s="23">
        <f>C11*1.1+G11*C11/F11</f>
        <v>300.00000000000006</v>
      </c>
      <c r="J11" s="23">
        <f>($C11*1.25+G11*C11/F11)</f>
        <v>330</v>
      </c>
      <c r="K11" s="23">
        <f t="shared" si="5"/>
        <v>320.00000000000006</v>
      </c>
      <c r="L11" s="47">
        <f>IF(C11+G11*C11/F11+($L$2*(C11+G11*C11/F11)/(G11-$L$2))&lt;=0,"Niet mogelijk",C11+G11*C11/F11+($L$2*(C11+G11*C11/F11)/(G11-$L$2)))</f>
        <v>310.62971669086807</v>
      </c>
      <c r="M11" s="23">
        <f>((0.25*$C11*2)+$G11*$C11/$F11)</f>
        <v>180</v>
      </c>
      <c r="N11" s="23">
        <f>((0.5*C11*2)+G11*C11/F11)</f>
        <v>280</v>
      </c>
      <c r="O11" s="24">
        <f>(($C11*2)+$G11*$C11/$F11)</f>
        <v>480</v>
      </c>
    </row>
    <row r="12" spans="1:15" s="3" customFormat="1" x14ac:dyDescent="0.25">
      <c r="A12" s="177" t="s">
        <v>2</v>
      </c>
      <c r="B12" s="4" t="s">
        <v>23</v>
      </c>
      <c r="C12" s="7">
        <f t="shared" si="1"/>
        <v>200</v>
      </c>
      <c r="D12" s="7">
        <f>4*C12</f>
        <v>800</v>
      </c>
      <c r="E12" s="19">
        <f>0.5*F12</f>
        <v>3.1692028837745414</v>
      </c>
      <c r="F12" s="19">
        <f>(C12/(0.5*0.5*PI()))^(1/3)</f>
        <v>6.3384057675490828</v>
      </c>
      <c r="G12" s="28">
        <f>0.1*F12</f>
        <v>0.63384057675490835</v>
      </c>
      <c r="H12" s="33">
        <f>C12+G12*3*C12/F12</f>
        <v>260</v>
      </c>
      <c r="I12" s="21">
        <f>C12*1.1+3*G12*C12/F12</f>
        <v>280.00000000000006</v>
      </c>
      <c r="J12" s="21">
        <f>($C12*1.75+3*G12*C12/F12)</f>
        <v>410</v>
      </c>
      <c r="K12" s="21">
        <f t="shared" ref="K12:K13" si="6">I12+3*0.1*C12</f>
        <v>340.00000000000006</v>
      </c>
      <c r="L12" s="46">
        <f>IF(C12+3*G12*C12/F12+($L$2*(C12+3*G12*C12/F12)/(G12-$L$2))&lt;=0,"Niet mogelijk",C12+3*G12*C12/F12+($L$2*(C12+3*G12*C12/F12)/(G12-$L$2)))</f>
        <v>429.34113779613273</v>
      </c>
      <c r="M12" s="21">
        <f>((0.25*$C12*4)+3*$G12*$C12/$F12)</f>
        <v>260</v>
      </c>
      <c r="N12" s="21">
        <f>((0.5*C12*4)+3*G12*C12/F12)</f>
        <v>460</v>
      </c>
      <c r="O12" s="22">
        <f>(($C12*4)+3*$G12*$C12/$F12)</f>
        <v>860</v>
      </c>
    </row>
    <row r="13" spans="1:15" s="3" customFormat="1" ht="15.75" thickBot="1" x14ac:dyDescent="0.3">
      <c r="A13" s="178"/>
      <c r="B13" s="20" t="s">
        <v>0</v>
      </c>
      <c r="C13" s="10">
        <f t="shared" si="1"/>
        <v>200</v>
      </c>
      <c r="D13" s="10">
        <f>4*C13</f>
        <v>800</v>
      </c>
      <c r="E13" s="13">
        <f>0.5*F13</f>
        <v>3.1692028837745414</v>
      </c>
      <c r="F13" s="13">
        <f>(C13/(0.5*0.5*PI()))^(1/3)</f>
        <v>6.3384057675490828</v>
      </c>
      <c r="G13" s="29">
        <f>0.4*F13</f>
        <v>2.5353623070196334</v>
      </c>
      <c r="H13" s="34">
        <f>C13+3*G13*C13/F13</f>
        <v>440</v>
      </c>
      <c r="I13" s="23">
        <f>C13*1.1+3*G13*C13/F13</f>
        <v>460.00000000000006</v>
      </c>
      <c r="J13" s="23">
        <f>($C13*1.75+3*G13*C13/F13)</f>
        <v>590</v>
      </c>
      <c r="K13" s="23">
        <f t="shared" si="6"/>
        <v>520.00000000000011</v>
      </c>
      <c r="L13" s="47">
        <f>IF(C13+3*G13*C13/F13+($L$2*(C13+3*G13*C13/F13)/(G13-$L$2))&lt;=0,"Niet mogelijk",C13+3*G13*C13/F13+($L$2*(C13+3*G13*C13/F13)/(G13-$L$2)))</f>
        <v>488.13241194279266</v>
      </c>
      <c r="M13" s="23">
        <f>((0.25*$C13*4)+3*$G13*$C13/$F13)</f>
        <v>440</v>
      </c>
      <c r="N13" s="23">
        <f>((0.5*C13*4)+3*G13*C13/F13)</f>
        <v>640</v>
      </c>
      <c r="O13" s="24">
        <f>(($C13*4)+3*$G13*$C13/$F13)</f>
        <v>1040</v>
      </c>
    </row>
    <row r="14" spans="1:15" s="3" customFormat="1" ht="30" customHeight="1" x14ac:dyDescent="0.25">
      <c r="A14" s="177" t="s">
        <v>1</v>
      </c>
      <c r="B14" s="4" t="s">
        <v>23</v>
      </c>
      <c r="C14" s="7">
        <f t="shared" si="1"/>
        <v>200</v>
      </c>
      <c r="D14" s="7">
        <f>(1+3*0.25)*C14</f>
        <v>350</v>
      </c>
      <c r="E14" s="19">
        <f>F14</f>
        <v>3.9929454246550797</v>
      </c>
      <c r="F14" s="19">
        <f>(C14/(1*1*PI()))^(1/3)</f>
        <v>3.9929454246550797</v>
      </c>
      <c r="G14" s="28">
        <f>0.1*F14</f>
        <v>0.399294542465508</v>
      </c>
      <c r="H14" s="33">
        <f>C14+0.25*3*G14*C14/F14</f>
        <v>215</v>
      </c>
      <c r="I14" s="21">
        <f>C14*1.1+3*0.25*G14*C14/F14</f>
        <v>235.00000000000003</v>
      </c>
      <c r="J14" s="21">
        <f>($C14*(1+3*0.25*0.25)+3*0.25*G14*C14/F14)</f>
        <v>252.5</v>
      </c>
      <c r="K14" s="21">
        <f t="shared" ref="K14:K15" si="7">I14+3*0.1*0.25*C14</f>
        <v>250.00000000000003</v>
      </c>
      <c r="L14" s="46">
        <f>IF(C14+3*G14*0.25*C14/F14+($L$2*(C14+3*G14*0.25*C14/F14)/(G14-$L$2))&lt;=0,"Niet mogelijk",C14+3*G14*0.25*C14/F14+($L$2*(C14+3*G14*0.25*C14/F14)/(G14-$L$2)))</f>
        <v>575.02655631178231</v>
      </c>
      <c r="M14" s="21">
        <f>((0.25*$C14*1.75)+3*0.25*$G14*$C14/$F14)</f>
        <v>102.5</v>
      </c>
      <c r="N14" s="21">
        <f>((0.5*C14*1.75)+3*0.25*G14*C14/F14)</f>
        <v>190</v>
      </c>
      <c r="O14" s="22">
        <f>(($C14*1.75)+3*0.25*$G14*$C14/$F14)</f>
        <v>365</v>
      </c>
    </row>
    <row r="15" spans="1:15" s="3" customFormat="1" ht="15.75" thickBot="1" x14ac:dyDescent="0.3">
      <c r="A15" s="178"/>
      <c r="B15" s="20" t="s">
        <v>0</v>
      </c>
      <c r="C15" s="10">
        <f t="shared" si="1"/>
        <v>200</v>
      </c>
      <c r="D15" s="10">
        <f>(1+3*0.25)*C15</f>
        <v>350</v>
      </c>
      <c r="E15" s="13">
        <f>F15</f>
        <v>3.9929454246550797</v>
      </c>
      <c r="F15" s="13">
        <f>(C15/(1*1*PI()))^(1/3)</f>
        <v>3.9929454246550797</v>
      </c>
      <c r="G15" s="29">
        <f>0.4*F15</f>
        <v>1.597178169862032</v>
      </c>
      <c r="H15" s="34">
        <f>C15+0.25*3*G15*C15/F15</f>
        <v>260</v>
      </c>
      <c r="I15" s="23">
        <f>C15*1.1+3*0.25*G15*C15/F15</f>
        <v>280.00000000000006</v>
      </c>
      <c r="J15" s="23">
        <f>($C15*(1+3*0.25*0.25)+3*0.25*G15*C15/F15)</f>
        <v>297.5</v>
      </c>
      <c r="K15" s="23">
        <f t="shared" si="7"/>
        <v>295.00000000000006</v>
      </c>
      <c r="L15" s="47">
        <f>IF(C15+3*G15*0.25*C15/F15+($L$2*(C15+3*G15*0.25*C15/F15)/(G15-$L$2))&lt;=0,"Niet mogelijk",C15+3*G15*0.25*C15/F15+($L$2*(C15+3*G15*0.25*C15/F15)/(G15-$L$2)))</f>
        <v>308.2490003580275</v>
      </c>
      <c r="M15" s="23">
        <f>((0.25*$C15*1.75)+3*0.25*$G15*$C15/$F15)</f>
        <v>147.5</v>
      </c>
      <c r="N15" s="23">
        <f>((0.5*C15*1.75)+3*0.25*G15*C15/F15)</f>
        <v>235</v>
      </c>
      <c r="O15" s="24">
        <f>(($C15*1.75)+3*0.25*$G15*$C15/$F15)</f>
        <v>410</v>
      </c>
    </row>
    <row r="16" spans="1:15" s="3" customFormat="1" ht="15.75" thickBot="1" x14ac:dyDescent="0.3">
      <c r="A16" s="185" t="s">
        <v>27</v>
      </c>
      <c r="B16" s="186"/>
      <c r="C16" s="186"/>
      <c r="D16" s="186"/>
      <c r="E16" s="186"/>
      <c r="F16" s="186"/>
      <c r="G16" s="186"/>
      <c r="H16" s="186"/>
      <c r="I16" s="186"/>
      <c r="J16" s="186"/>
      <c r="K16" s="186"/>
      <c r="L16" s="186"/>
      <c r="M16" s="186"/>
      <c r="N16" s="186"/>
      <c r="O16" s="187"/>
    </row>
    <row r="17" spans="1:15" s="3" customFormat="1" ht="45.75" thickBot="1" x14ac:dyDescent="0.3">
      <c r="A17" s="41" t="s">
        <v>16</v>
      </c>
      <c r="B17" s="42" t="s">
        <v>15</v>
      </c>
      <c r="C17" s="68" t="s">
        <v>56</v>
      </c>
      <c r="D17" s="68" t="s">
        <v>57</v>
      </c>
      <c r="E17" s="42" t="s">
        <v>14</v>
      </c>
      <c r="F17" s="42" t="s">
        <v>13</v>
      </c>
      <c r="G17" s="69" t="s">
        <v>12</v>
      </c>
      <c r="H17" s="37" t="s">
        <v>11</v>
      </c>
      <c r="I17" s="38" t="s">
        <v>10</v>
      </c>
      <c r="J17" s="38" t="s">
        <v>7</v>
      </c>
      <c r="K17" s="68" t="s">
        <v>58</v>
      </c>
      <c r="L17" s="152" t="s">
        <v>81</v>
      </c>
      <c r="M17" s="39" t="s">
        <v>9</v>
      </c>
      <c r="N17" s="38" t="s">
        <v>8</v>
      </c>
      <c r="O17" s="40" t="s">
        <v>22</v>
      </c>
    </row>
    <row r="18" spans="1:15" x14ac:dyDescent="0.25">
      <c r="A18" s="188" t="s">
        <v>6</v>
      </c>
      <c r="B18" s="87" t="s">
        <v>24</v>
      </c>
      <c r="C18" s="88">
        <f>C4</f>
        <v>200</v>
      </c>
      <c r="D18" s="88">
        <f>C18</f>
        <v>200</v>
      </c>
      <c r="E18" s="89">
        <f>2.5*F18</f>
        <v>5.4192607013928908</v>
      </c>
      <c r="F18" s="89">
        <f>(C18/(2.5*2.5*PI()))^(1/3)</f>
        <v>2.1677042805571562</v>
      </c>
      <c r="G18" s="90">
        <v>0.5</v>
      </c>
      <c r="H18" s="30">
        <f>C18</f>
        <v>200</v>
      </c>
      <c r="I18" s="27">
        <f>C18*1.1</f>
        <v>220.00000000000003</v>
      </c>
      <c r="J18" s="27">
        <f>H18</f>
        <v>200</v>
      </c>
      <c r="K18" s="27">
        <f>I18</f>
        <v>220.00000000000003</v>
      </c>
      <c r="L18" s="48">
        <f>IF(C18+$L$2*C18/(G18-$L$2)&lt;0,"Niet mogelijk",C18+$L$2*C18/(G18-$L$2))</f>
        <v>400</v>
      </c>
      <c r="M18" s="27"/>
      <c r="N18" s="27"/>
      <c r="O18" s="8">
        <f>C18</f>
        <v>200</v>
      </c>
    </row>
    <row r="19" spans="1:15" ht="15.75" thickBot="1" x14ac:dyDescent="0.3">
      <c r="A19" s="182"/>
      <c r="B19" s="9" t="s">
        <v>25</v>
      </c>
      <c r="C19" s="10">
        <f t="shared" ref="C19:C29" si="8">C18</f>
        <v>200</v>
      </c>
      <c r="D19" s="10">
        <f t="shared" ref="D19:D21" si="9">C19</f>
        <v>200</v>
      </c>
      <c r="E19" s="11">
        <f>2.5*F19</f>
        <v>5.4192607013928908</v>
      </c>
      <c r="F19" s="11">
        <f>(C19/(2.5*2.5*PI()))^(1/3)</f>
        <v>2.1677042805571562</v>
      </c>
      <c r="G19" s="91">
        <v>3</v>
      </c>
      <c r="H19" s="32">
        <f>C19</f>
        <v>200</v>
      </c>
      <c r="I19" s="14">
        <f>C19*1.1</f>
        <v>220.00000000000003</v>
      </c>
      <c r="J19" s="14">
        <f t="shared" ref="J19:K21" si="10">H19</f>
        <v>200</v>
      </c>
      <c r="K19" s="14">
        <f t="shared" si="10"/>
        <v>220.00000000000003</v>
      </c>
      <c r="L19" s="49">
        <f>IF(C19+$L$2*C19/(G19-$L$2)&lt;0,"Niet mogelijk",C19+$L$2*C19/(G19-$L$2))</f>
        <v>218.18181818181819</v>
      </c>
      <c r="M19" s="14"/>
      <c r="N19" s="14"/>
      <c r="O19" s="12">
        <f t="shared" ref="O19:O21" si="11">C19</f>
        <v>200</v>
      </c>
    </row>
    <row r="20" spans="1:15" x14ac:dyDescent="0.25">
      <c r="A20" s="181" t="s">
        <v>5</v>
      </c>
      <c r="B20" s="4" t="s">
        <v>24</v>
      </c>
      <c r="C20" s="7">
        <f t="shared" si="8"/>
        <v>200</v>
      </c>
      <c r="D20" s="7">
        <f t="shared" si="9"/>
        <v>200</v>
      </c>
      <c r="E20" s="6">
        <f>0.25*F20</f>
        <v>2.5153979958021795</v>
      </c>
      <c r="F20" s="6">
        <f>(C20/(0.25*0.25*PI()))^(1/3)</f>
        <v>10.061591983208718</v>
      </c>
      <c r="G20" s="28">
        <f>G$18</f>
        <v>0.5</v>
      </c>
      <c r="H20" s="30">
        <f>C20</f>
        <v>200</v>
      </c>
      <c r="I20" s="27">
        <f>C20*1.1</f>
        <v>220.00000000000003</v>
      </c>
      <c r="J20" s="27">
        <f t="shared" si="10"/>
        <v>200</v>
      </c>
      <c r="K20" s="27">
        <f t="shared" si="10"/>
        <v>220.00000000000003</v>
      </c>
      <c r="L20" s="48">
        <f>IF(C20+$L$2*C20/(G20-$L$2)&lt;0,"Niet mogelijk",C20+$L$2*C20/(G20-$L$2))</f>
        <v>400</v>
      </c>
      <c r="M20" s="27"/>
      <c r="N20" s="27"/>
      <c r="O20" s="8">
        <f t="shared" si="11"/>
        <v>200</v>
      </c>
    </row>
    <row r="21" spans="1:15" ht="15.75" thickBot="1" x14ac:dyDescent="0.3">
      <c r="A21" s="182"/>
      <c r="B21" s="9" t="s">
        <v>25</v>
      </c>
      <c r="C21" s="10">
        <f t="shared" si="8"/>
        <v>200</v>
      </c>
      <c r="D21" s="10">
        <f t="shared" si="9"/>
        <v>200</v>
      </c>
      <c r="E21" s="11">
        <f>0.25*F21</f>
        <v>2.5153979958021795</v>
      </c>
      <c r="F21" s="11">
        <f>(C21/(0.25*0.25*PI()))^(1/3)</f>
        <v>10.061591983208718</v>
      </c>
      <c r="G21" s="29">
        <f>G$19</f>
        <v>3</v>
      </c>
      <c r="H21" s="32">
        <f>C21</f>
        <v>200</v>
      </c>
      <c r="I21" s="14">
        <f>C21*1.1</f>
        <v>220.00000000000003</v>
      </c>
      <c r="J21" s="14">
        <f t="shared" si="10"/>
        <v>200</v>
      </c>
      <c r="K21" s="14">
        <f t="shared" si="10"/>
        <v>220.00000000000003</v>
      </c>
      <c r="L21" s="49">
        <f>IF(C21+$L$2*C21/(G21-$L$2)&lt;0,"Niet mogelijk",C21+$L$2*C21/(G21-$L$2))</f>
        <v>218.18181818181819</v>
      </c>
      <c r="M21" s="14"/>
      <c r="N21" s="14"/>
      <c r="O21" s="12">
        <f t="shared" si="11"/>
        <v>200</v>
      </c>
    </row>
    <row r="22" spans="1:15" x14ac:dyDescent="0.25">
      <c r="A22" s="183" t="s">
        <v>4</v>
      </c>
      <c r="B22" s="4" t="s">
        <v>24</v>
      </c>
      <c r="C22" s="7">
        <f t="shared" si="8"/>
        <v>200</v>
      </c>
      <c r="D22" s="7">
        <f>2*C22</f>
        <v>400</v>
      </c>
      <c r="E22" s="19">
        <f>F22</f>
        <v>3.9929454246550797</v>
      </c>
      <c r="F22" s="19">
        <f>(C22/(1*1*PI()))^(1/3)</f>
        <v>3.9929454246550797</v>
      </c>
      <c r="G22" s="28">
        <f t="shared" ref="G22" si="12">G$18</f>
        <v>0.5</v>
      </c>
      <c r="H22" s="30">
        <f>C22+G22*C22/F22</f>
        <v>225.04416899428026</v>
      </c>
      <c r="I22" s="27">
        <f>C22*1.1+G22*C22/F22</f>
        <v>245.04416899428028</v>
      </c>
      <c r="J22" s="27">
        <f>($C22*1.25+G22*C22/F22)</f>
        <v>275.04416899428026</v>
      </c>
      <c r="K22" s="27">
        <f>I22+1*0.1*C22</f>
        <v>265.04416899428031</v>
      </c>
      <c r="L22" s="48">
        <f>IF(C22+G22*C22/F22+($L$2*(C22+G22*C22/F22)/(G22-$L$2))&lt;=0,"Niet mogelijk",C22+G22*C22/F22+($L$2*(C22+G22*C22/F22)/(G22-$L$2)))</f>
        <v>450.08833798856051</v>
      </c>
      <c r="M22" s="27">
        <f>((0.25*$C22*2)+$G22*$C22/$F22)</f>
        <v>125.04416899428027</v>
      </c>
      <c r="N22" s="27">
        <f>((0.5*C22*2)+G22*C22/F22)</f>
        <v>225.04416899428026</v>
      </c>
      <c r="O22" s="8">
        <f>(($C22*2)+$G22*$C22/$F22)</f>
        <v>425.04416899428026</v>
      </c>
    </row>
    <row r="23" spans="1:15" ht="15.75" thickBot="1" x14ac:dyDescent="0.3">
      <c r="A23" s="184"/>
      <c r="B23" s="9" t="s">
        <v>25</v>
      </c>
      <c r="C23" s="10">
        <f t="shared" si="8"/>
        <v>200</v>
      </c>
      <c r="D23" s="10">
        <f>2*C23</f>
        <v>400</v>
      </c>
      <c r="E23" s="13">
        <f>F23</f>
        <v>3.9929454246550797</v>
      </c>
      <c r="F23" s="13">
        <f>(C23/(1*1*PI()))^(1/3)</f>
        <v>3.9929454246550797</v>
      </c>
      <c r="G23" s="29">
        <f t="shared" ref="G23" si="13">G$19</f>
        <v>3</v>
      </c>
      <c r="H23" s="32">
        <f>C23+G23*C23/F23</f>
        <v>350.26501396568159</v>
      </c>
      <c r="I23" s="14">
        <f>C23*1.1+G23*C23/F23</f>
        <v>370.26501396568165</v>
      </c>
      <c r="J23" s="14">
        <f>($C23*1.25+G23*C23/F23)</f>
        <v>400.26501396568159</v>
      </c>
      <c r="K23" s="14">
        <f>I23+1*0.1*C23</f>
        <v>390.26501396568165</v>
      </c>
      <c r="L23" s="49">
        <f>IF(C23+G23*C23/F23+($L$2*(C23+G23*C23/F23)/(G23-$L$2))&lt;=0,"Niet mogelijk",C23+G23*C23/F23+($L$2*(C23+G23*C23/F23)/(G23-$L$2)))</f>
        <v>382.10728796256171</v>
      </c>
      <c r="M23" s="14">
        <f>((0.25*$C23*2)+$G23*$C23/$F23)</f>
        <v>250.26501396568159</v>
      </c>
      <c r="N23" s="14">
        <f>((0.5*C23*2)+G23*C23/F23)</f>
        <v>350.26501396568159</v>
      </c>
      <c r="O23" s="12">
        <f>(($C23*2)+$G23*$C23/$F23)</f>
        <v>550.26501396568165</v>
      </c>
    </row>
    <row r="24" spans="1:15" x14ac:dyDescent="0.25">
      <c r="A24" s="183" t="s">
        <v>3</v>
      </c>
      <c r="B24" s="4" t="s">
        <v>24</v>
      </c>
      <c r="C24" s="7">
        <f t="shared" si="8"/>
        <v>200</v>
      </c>
      <c r="D24" s="7">
        <f>2*C24</f>
        <v>400</v>
      </c>
      <c r="E24" s="19">
        <f>0.5*F24</f>
        <v>3.1692028837745414</v>
      </c>
      <c r="F24" s="19">
        <f>(C24/(0.5*0.5*PI()))^(1/3)</f>
        <v>6.3384057675490828</v>
      </c>
      <c r="G24" s="28">
        <f t="shared" ref="G24" si="14">G$18</f>
        <v>0.5</v>
      </c>
      <c r="H24" s="30">
        <f>C24+G24*C24/F24</f>
        <v>215.77683784650912</v>
      </c>
      <c r="I24" s="27">
        <f>C24*1.1+G24*C24/F24</f>
        <v>235.77683784650912</v>
      </c>
      <c r="J24" s="27">
        <f>($C24*1.25+G24*C24/F24)</f>
        <v>265.77683784650912</v>
      </c>
      <c r="K24" s="27">
        <f t="shared" ref="K24:K25" si="15">I24+1*0.1*C24</f>
        <v>255.77683784650912</v>
      </c>
      <c r="L24" s="48">
        <f>IF(C24+G24*C24/F24+($L$2*(C24+G24*C24/F24)/(G24-$L$2))&lt;=0,"Niet mogelijk",C24+G24*C24/F24+($L$2*(C24+G24*C24/F24)/(G24-$L$2)))</f>
        <v>431.55367569301825</v>
      </c>
      <c r="M24" s="27">
        <f>((0.25*$C24*2)+$G24*$C24/$F24)</f>
        <v>115.77683784650911</v>
      </c>
      <c r="N24" s="27">
        <f>((0.5*C24*2)+G24*C24/F24)</f>
        <v>215.77683784650912</v>
      </c>
      <c r="O24" s="8">
        <f>(($C24*2)+$G24*$C24/$F24)</f>
        <v>415.77683784650912</v>
      </c>
    </row>
    <row r="25" spans="1:15" ht="15.75" thickBot="1" x14ac:dyDescent="0.3">
      <c r="A25" s="184"/>
      <c r="B25" s="9" t="s">
        <v>25</v>
      </c>
      <c r="C25" s="10">
        <f t="shared" si="8"/>
        <v>200</v>
      </c>
      <c r="D25" s="10">
        <f>2*C25</f>
        <v>400</v>
      </c>
      <c r="E25" s="13">
        <f>0.5*F25</f>
        <v>3.1692028837745414</v>
      </c>
      <c r="F25" s="13">
        <f>(C25/(0.5*0.5*PI()))^(1/3)</f>
        <v>6.3384057675490828</v>
      </c>
      <c r="G25" s="29">
        <f t="shared" ref="G25" si="16">G$19</f>
        <v>3</v>
      </c>
      <c r="H25" s="32">
        <f>C25+G25*C25/F25</f>
        <v>294.66102707905463</v>
      </c>
      <c r="I25" s="14">
        <f>C25*1.1+G25*C25/F25</f>
        <v>314.66102707905469</v>
      </c>
      <c r="J25" s="14">
        <f>($C25*1.25+G25*C25/F25)</f>
        <v>344.66102707905463</v>
      </c>
      <c r="K25" s="14">
        <f t="shared" si="15"/>
        <v>334.66102707905469</v>
      </c>
      <c r="L25" s="49">
        <f>IF(C25+G25*C25/F25+($L$2*(C25+G25*C25/F25)/(G25-$L$2))&lt;=0,"Niet mogelijk",C25+G25*C25/F25+($L$2*(C25+G25*C25/F25)/(G25-$L$2)))</f>
        <v>321.44839317715054</v>
      </c>
      <c r="M25" s="14">
        <f>((0.25*$C25*2)+$G25*$C25/$F25)</f>
        <v>194.66102707905466</v>
      </c>
      <c r="N25" s="14">
        <f>((0.5*C25*2)+G25*C25/F25)</f>
        <v>294.66102707905463</v>
      </c>
      <c r="O25" s="12">
        <f>(($C25*2)+$G25*$C25/$F25)</f>
        <v>494.66102707905463</v>
      </c>
    </row>
    <row r="26" spans="1:15" x14ac:dyDescent="0.25">
      <c r="A26" s="183" t="s">
        <v>2</v>
      </c>
      <c r="B26" s="4" t="s">
        <v>24</v>
      </c>
      <c r="C26" s="7">
        <f t="shared" si="8"/>
        <v>200</v>
      </c>
      <c r="D26" s="7">
        <f>4*C26</f>
        <v>800</v>
      </c>
      <c r="E26" s="19">
        <f>0.5*F26</f>
        <v>3.1692028837745414</v>
      </c>
      <c r="F26" s="19">
        <f>(C26/(0.5*0.5*PI()))^(1/3)</f>
        <v>6.3384057675490828</v>
      </c>
      <c r="G26" s="28">
        <f t="shared" ref="G26" si="17">G$18</f>
        <v>0.5</v>
      </c>
      <c r="H26" s="30">
        <f>C26+G26*3*C26/F26</f>
        <v>247.33051353952732</v>
      </c>
      <c r="I26" s="27">
        <f>C26*1.1+3*G26*C26/F26</f>
        <v>267.33051353952737</v>
      </c>
      <c r="J26" s="27">
        <f>($C26*1.75+3*G26*C26/F26)</f>
        <v>397.33051353952732</v>
      </c>
      <c r="K26" s="27">
        <f>I26+3*0.1*C26</f>
        <v>327.33051353952737</v>
      </c>
      <c r="L26" s="48">
        <f>IF(C26+3*G26*C26/F26+($L$2*(C26+3*G26*C26/F26)/(G26-$L$2))&lt;=0,"Niet mogelijk",C26+3*G26*C26/F26+($L$2*(C26+3*G26*C26/F26)/(G26-$L$2)))</f>
        <v>494.66102707905463</v>
      </c>
      <c r="M26" s="27">
        <f>((0.25*$C26*4)+3*$G26*$C26/$F26)</f>
        <v>247.33051353952732</v>
      </c>
      <c r="N26" s="27">
        <f>((0.5*C26*4)+3*G26*C26/F26)</f>
        <v>447.33051353952732</v>
      </c>
      <c r="O26" s="8">
        <f>(($C26*4)+3*$G26*$C26/$F26)</f>
        <v>847.33051353952737</v>
      </c>
    </row>
    <row r="27" spans="1:15" ht="15.75" thickBot="1" x14ac:dyDescent="0.3">
      <c r="A27" s="184"/>
      <c r="B27" s="9" t="s">
        <v>25</v>
      </c>
      <c r="C27" s="10">
        <f t="shared" si="8"/>
        <v>200</v>
      </c>
      <c r="D27" s="10">
        <f>4*C27</f>
        <v>800</v>
      </c>
      <c r="E27" s="13">
        <f>0.5*F27</f>
        <v>3.1692028837745414</v>
      </c>
      <c r="F27" s="13">
        <f>(C27/(0.5*0.5*PI()))^(1/3)</f>
        <v>6.3384057675490828</v>
      </c>
      <c r="G27" s="29">
        <f t="shared" ref="G27" si="18">G$19</f>
        <v>3</v>
      </c>
      <c r="H27" s="32">
        <f>C27+3*G27*C27/F27</f>
        <v>483.98308123716401</v>
      </c>
      <c r="I27" s="14">
        <f>C27*1.1+3*G27*C27/F27</f>
        <v>503.98308123716401</v>
      </c>
      <c r="J27" s="14">
        <f>($C27*1.75+3*G27*C27/F27)</f>
        <v>633.98308123716401</v>
      </c>
      <c r="K27" s="14">
        <f>I27+3*0.1*C27</f>
        <v>563.98308123716401</v>
      </c>
      <c r="L27" s="49">
        <f>IF(C27+3*G27*C27/F27+($L$2*(C27+3*G27*C27/F27)/(G27-$L$2))&lt;=0,"Niet mogelijk",C27+3*G27*C27/F27+($L$2*(C27+3*G27*C27/F27)/(G27-$L$2)))</f>
        <v>527.98154316781529</v>
      </c>
      <c r="M27" s="14">
        <f>((0.25*$C27*4)+3*$G27*$C27/$F27)</f>
        <v>483.98308123716401</v>
      </c>
      <c r="N27" s="14">
        <f>((0.5*C27*4)+3*G27*C27/F27)</f>
        <v>683.98308123716401</v>
      </c>
      <c r="O27" s="12">
        <f>(($C27*4)+3*$G27*$C27/$F27)</f>
        <v>1083.983081237164</v>
      </c>
    </row>
    <row r="28" spans="1:15" ht="30" customHeight="1" x14ac:dyDescent="0.25">
      <c r="A28" s="183" t="s">
        <v>1</v>
      </c>
      <c r="B28" s="4" t="s">
        <v>24</v>
      </c>
      <c r="C28" s="7">
        <f t="shared" si="8"/>
        <v>200</v>
      </c>
      <c r="D28" s="7">
        <f>(1+3*0.25)*C28</f>
        <v>350</v>
      </c>
      <c r="E28" s="19">
        <f>F28</f>
        <v>3.9929454246550797</v>
      </c>
      <c r="F28" s="19">
        <f>(C28/(1*1*PI()))^(1/3)</f>
        <v>3.9929454246550797</v>
      </c>
      <c r="G28" s="92">
        <f t="shared" ref="G28" si="19">G$18</f>
        <v>0.5</v>
      </c>
      <c r="H28" s="30">
        <f>C28+0.25*3*G28*C28/F28</f>
        <v>218.78312674571021</v>
      </c>
      <c r="I28" s="27">
        <f>C28*1.1+3*0.25*G28*C28/F28</f>
        <v>238.78312674571023</v>
      </c>
      <c r="J28" s="27">
        <f>($C28*(1+3*0.25*0.25)+3*0.25*G28*C28/F28)</f>
        <v>256.28312674571021</v>
      </c>
      <c r="K28" s="27">
        <f>I28+3*0.1*0.25*C28</f>
        <v>253.78312674571023</v>
      </c>
      <c r="L28" s="48">
        <f>IF(C28+3*G28*0.25*C28/F28+($L$2*(C28+3*G28*0.25*C28/F28)/(G28-$L$2))&lt;=0,"Niet mogelijk",C28+3*G28*0.25*C28/F28+($L$2*(C28+3*G28*0.25*C28/F28)/(G28-$L$2)))</f>
        <v>437.56625349142041</v>
      </c>
      <c r="M28" s="27">
        <f>((0.25*$C28*1.75)+3*0.25*$G28*$C28/$F28)</f>
        <v>106.28312674571021</v>
      </c>
      <c r="N28" s="27">
        <f>((0.5*C28*1.75)+3*0.25*G28*C28/F28)</f>
        <v>193.78312674571021</v>
      </c>
      <c r="O28" s="8">
        <f>(($C28*1.75)+3*0.25*$G28*$C28/$F28)</f>
        <v>368.78312674571021</v>
      </c>
    </row>
    <row r="29" spans="1:15" ht="15.75" thickBot="1" x14ac:dyDescent="0.3">
      <c r="A29" s="184"/>
      <c r="B29" s="9" t="s">
        <v>25</v>
      </c>
      <c r="C29" s="10">
        <f t="shared" si="8"/>
        <v>200</v>
      </c>
      <c r="D29" s="10">
        <f>(1+3*0.25)*C29</f>
        <v>350</v>
      </c>
      <c r="E29" s="13">
        <f>F29</f>
        <v>3.9929454246550797</v>
      </c>
      <c r="F29" s="13">
        <f>(C29/(1*1*PI()))^(1/3)</f>
        <v>3.9929454246550797</v>
      </c>
      <c r="G29" s="93">
        <f t="shared" ref="G29" si="20">G$19</f>
        <v>3</v>
      </c>
      <c r="H29" s="32">
        <f>C29+0.25*3*G29*C29/F29</f>
        <v>312.69876047426123</v>
      </c>
      <c r="I29" s="14">
        <f>C29*1.1+3*0.25*G29*C29/F29</f>
        <v>332.69876047426123</v>
      </c>
      <c r="J29" s="14">
        <f>($C29*(1+3*0.25*0.25)+3*0.25*G29*C29/F29)</f>
        <v>350.19876047426123</v>
      </c>
      <c r="K29" s="14">
        <f>I29+3*0.1*0.25*C29</f>
        <v>347.69876047426123</v>
      </c>
      <c r="L29" s="49">
        <f>IF(C29+3*G29*0.25*C29/F29+($L$2*(C29+3*G29*0.25*C29/F29)/(G29-$L$2))&lt;=0,"Niet mogelijk",C29+3*G29*0.25*C29/F29+($L$2*(C29+3*G29*0.25*C29/F29)/(G29-$L$2)))</f>
        <v>341.1259205173759</v>
      </c>
      <c r="M29" s="14">
        <f>((0.25*$C29*1.75)+3*0.25*$G29*$C29/$F29)</f>
        <v>200.19876047426121</v>
      </c>
      <c r="N29" s="14">
        <f>((0.5*C29*1.75)+3*0.25*G29*C29/F29)</f>
        <v>287.69876047426123</v>
      </c>
      <c r="O29" s="12">
        <f>(($C29*1.75)+3*0.25*$G29*$C29/$F29)</f>
        <v>462.69876047426123</v>
      </c>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5">
      <colorScale>
        <cfvo type="min"/>
        <cfvo type="max"/>
        <color theme="8" tint="0.79998168889431442"/>
        <color theme="8"/>
      </colorScale>
    </cfRule>
  </conditionalFormatting>
  <conditionalFormatting sqref="H18:O19">
    <cfRule type="colorScale" priority="18">
      <colorScale>
        <cfvo type="min"/>
        <cfvo type="max"/>
        <color theme="8" tint="0.79998168889431442"/>
        <color theme="8"/>
      </colorScale>
    </cfRule>
  </conditionalFormatting>
  <conditionalFormatting sqref="H12:O13">
    <cfRule type="colorScale" priority="17">
      <colorScale>
        <cfvo type="min"/>
        <cfvo type="max"/>
        <color theme="8" tint="0.79998168889431442"/>
        <color theme="8"/>
      </colorScale>
    </cfRule>
  </conditionalFormatting>
  <conditionalFormatting sqref="H6:O7">
    <cfRule type="colorScale" priority="16">
      <colorScale>
        <cfvo type="min"/>
        <cfvo type="max"/>
        <color theme="8" tint="0.79998168889431442"/>
        <color theme="8"/>
      </colorScale>
    </cfRule>
  </conditionalFormatting>
  <conditionalFormatting sqref="H8:O9">
    <cfRule type="colorScale" priority="14">
      <colorScale>
        <cfvo type="min"/>
        <cfvo type="max"/>
        <color theme="8" tint="0.79998168889431442"/>
        <color theme="8"/>
      </colorScale>
    </cfRule>
  </conditionalFormatting>
  <conditionalFormatting sqref="H10:O11">
    <cfRule type="colorScale" priority="13">
      <colorScale>
        <cfvo type="min"/>
        <cfvo type="max"/>
        <color theme="8" tint="0.79998168889431442"/>
        <color theme="8"/>
      </colorScale>
    </cfRule>
  </conditionalFormatting>
  <conditionalFormatting sqref="H14:O15">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4">
    <cfRule type="cellIs" dxfId="43" priority="6" operator="greaterThan">
      <formula>F4</formula>
    </cfRule>
  </conditionalFormatting>
  <conditionalFormatting sqref="G5">
    <cfRule type="cellIs" dxfId="42" priority="5" operator="greaterThan">
      <formula>F5</formula>
    </cfRule>
  </conditionalFormatting>
  <conditionalFormatting sqref="G6 G8 G10 G12 G14">
    <cfRule type="cellIs" dxfId="41" priority="4" operator="greaterThan">
      <formula>F6</formula>
    </cfRule>
  </conditionalFormatting>
  <conditionalFormatting sqref="G7 G9 G11 G13 G15">
    <cfRule type="cellIs" dxfId="40" priority="3" operator="greaterThan">
      <formula>F7</formula>
    </cfRule>
  </conditionalFormatting>
  <conditionalFormatting sqref="G18 G28 G20 G22 G24 G26">
    <cfRule type="cellIs" dxfId="39" priority="2" operator="greaterThan">
      <formula>F18</formula>
    </cfRule>
  </conditionalFormatting>
  <conditionalFormatting sqref="G19 G29 G21 G23 G25 G27">
    <cfRule type="cellIs" dxfId="38" priority="1" operator="greaterThan">
      <formula>F19</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04D32-2B99-4204-9368-1A9DE5B9DCB8}">
  <sheetPr>
    <tabColor theme="6"/>
  </sheetPr>
  <dimension ref="A1:R31"/>
  <sheetViews>
    <sheetView workbookViewId="0">
      <selection activeCell="L17" sqref="L17"/>
    </sheetView>
  </sheetViews>
  <sheetFormatPr defaultColWidth="9.140625"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42578125" style="2" customWidth="1"/>
    <col min="8" max="9" width="13.7109375" style="2" customWidth="1"/>
    <col min="10" max="11" width="18.42578125" style="2" customWidth="1"/>
    <col min="12" max="12" width="15.7109375" style="2" customWidth="1"/>
    <col min="13" max="14" width="13.7109375" style="2" customWidth="1"/>
    <col min="15" max="15" width="11.140625" style="2" bestFit="1" customWidth="1"/>
    <col min="16" max="16384" width="9.140625" style="2"/>
  </cols>
  <sheetData>
    <row r="1" spans="1:18" ht="15.75" thickBot="1" x14ac:dyDescent="0.3">
      <c r="L1" s="150" t="s">
        <v>30</v>
      </c>
    </row>
    <row r="2" spans="1:18" ht="15.75" thickBot="1" x14ac:dyDescent="0.3">
      <c r="A2" s="146" t="s">
        <v>29</v>
      </c>
      <c r="B2" s="147"/>
      <c r="C2" s="147"/>
      <c r="D2" s="147"/>
      <c r="E2" s="147"/>
      <c r="F2" s="147"/>
      <c r="G2" s="147"/>
      <c r="H2" s="147"/>
      <c r="I2" s="147"/>
      <c r="J2" s="147"/>
      <c r="K2" s="147"/>
      <c r="L2" s="148">
        <v>0.25</v>
      </c>
      <c r="M2" s="147"/>
      <c r="N2" s="147"/>
      <c r="O2" s="149"/>
    </row>
    <row r="3" spans="1:18" ht="45.75" thickBot="1" x14ac:dyDescent="0.3">
      <c r="A3" s="96" t="s">
        <v>16</v>
      </c>
      <c r="B3" s="97" t="s">
        <v>15</v>
      </c>
      <c r="C3" s="86" t="s">
        <v>56</v>
      </c>
      <c r="D3" s="86" t="s">
        <v>57</v>
      </c>
      <c r="E3" s="97" t="s">
        <v>14</v>
      </c>
      <c r="F3" s="97" t="s">
        <v>13</v>
      </c>
      <c r="G3" s="145" t="s">
        <v>12</v>
      </c>
      <c r="H3" s="145" t="s">
        <v>11</v>
      </c>
      <c r="I3" s="145" t="s">
        <v>10</v>
      </c>
      <c r="J3" s="145" t="s">
        <v>7</v>
      </c>
      <c r="K3" s="145" t="s">
        <v>58</v>
      </c>
      <c r="L3" s="152" t="s">
        <v>81</v>
      </c>
      <c r="M3" s="153" t="s">
        <v>9</v>
      </c>
      <c r="N3" s="145" t="s">
        <v>8</v>
      </c>
      <c r="O3" s="154" t="s">
        <v>22</v>
      </c>
    </row>
    <row r="4" spans="1:18" x14ac:dyDescent="0.25">
      <c r="A4" s="179" t="s">
        <v>6</v>
      </c>
      <c r="B4" s="4" t="s">
        <v>23</v>
      </c>
      <c r="C4" s="5">
        <v>200</v>
      </c>
      <c r="D4" s="7">
        <f>C4</f>
        <v>200</v>
      </c>
      <c r="E4" s="6">
        <f>2.5*F4</f>
        <v>5.4192607013928908</v>
      </c>
      <c r="F4" s="6">
        <f>(C4/(2.5*2.5*PI()))^(1/3)</f>
        <v>2.1677042805571562</v>
      </c>
      <c r="G4" s="28">
        <f>0.1*F4</f>
        <v>0.21677042805571564</v>
      </c>
      <c r="H4" s="50">
        <f>($C4/$G4)</f>
        <v>922.63507432201402</v>
      </c>
      <c r="I4" s="51">
        <f>($C4*1.1/$G4)</f>
        <v>1014.8985817542156</v>
      </c>
      <c r="J4" s="51">
        <f>($C4/$G4)</f>
        <v>922.63507432201402</v>
      </c>
      <c r="K4" s="51">
        <f>($C4*1.1/$G4)</f>
        <v>1014.8985817542156</v>
      </c>
      <c r="L4" s="52" t="str">
        <f>IF(($C4/($G4-$L$2))&lt;=0,"Niet mogelijk",($C4/($G4-$L$2)))</f>
        <v>Niet mogelijk</v>
      </c>
      <c r="M4" s="51"/>
      <c r="N4" s="51"/>
      <c r="O4" s="53">
        <f>H4</f>
        <v>922.63507432201402</v>
      </c>
      <c r="R4" s="94"/>
    </row>
    <row r="5" spans="1:18" ht="15.75" thickBot="1" x14ac:dyDescent="0.3">
      <c r="A5" s="180"/>
      <c r="B5" s="9" t="s">
        <v>0</v>
      </c>
      <c r="C5" s="10">
        <f t="shared" ref="C5:C15" si="0">C4</f>
        <v>200</v>
      </c>
      <c r="D5" s="16">
        <f t="shared" ref="D5:D7" si="1">C5</f>
        <v>200</v>
      </c>
      <c r="E5" s="11">
        <f>2.5*F5</f>
        <v>5.4192607013928908</v>
      </c>
      <c r="F5" s="11">
        <f>(C5/(2.5*2.5*PI()))^(1/3)</f>
        <v>2.1677042805571562</v>
      </c>
      <c r="G5" s="29">
        <f>0.4*F5</f>
        <v>0.86708171222286257</v>
      </c>
      <c r="H5" s="54">
        <f>($C5/$G5)</f>
        <v>230.65876858050351</v>
      </c>
      <c r="I5" s="55">
        <f>($C5*1.1/$G5)</f>
        <v>253.72464543855389</v>
      </c>
      <c r="J5" s="55">
        <f>($C5/$G5)</f>
        <v>230.65876858050351</v>
      </c>
      <c r="K5" s="55">
        <f t="shared" ref="K5:K7" si="2">($C5*1.1/$G5)</f>
        <v>253.72464543855389</v>
      </c>
      <c r="L5" s="56">
        <f>IF(($C5/($G5-$L$2))&lt;=0,"Niet mogelijk",($C5/($G5-$L$2)))</f>
        <v>324.10618567767386</v>
      </c>
      <c r="M5" s="55"/>
      <c r="N5" s="55"/>
      <c r="O5" s="57">
        <f t="shared" ref="O5:O7" si="3">H5</f>
        <v>230.65876858050351</v>
      </c>
    </row>
    <row r="6" spans="1:18" x14ac:dyDescent="0.25">
      <c r="A6" s="181" t="s">
        <v>5</v>
      </c>
      <c r="B6" s="4" t="s">
        <v>23</v>
      </c>
      <c r="C6" s="7">
        <f t="shared" si="0"/>
        <v>200</v>
      </c>
      <c r="D6" s="7">
        <f t="shared" si="1"/>
        <v>200</v>
      </c>
      <c r="E6" s="6">
        <f>0.25*F6</f>
        <v>2.5153979958021795</v>
      </c>
      <c r="F6" s="6">
        <f>(C6/(0.25*0.25*PI()))^(1/3)</f>
        <v>10.061591983208718</v>
      </c>
      <c r="G6" s="28">
        <f>0.1*F6</f>
        <v>1.0061591983208718</v>
      </c>
      <c r="H6" s="50">
        <f>($C6/$G6)</f>
        <v>198.77570103594928</v>
      </c>
      <c r="I6" s="51">
        <f>($C6*1.1/$G6)</f>
        <v>218.65327113954424</v>
      </c>
      <c r="J6" s="51">
        <f>($C6/$G6)</f>
        <v>198.77570103594928</v>
      </c>
      <c r="K6" s="51">
        <f t="shared" si="2"/>
        <v>218.65327113954424</v>
      </c>
      <c r="L6" s="52">
        <f>IF(($C6/($G6-$L$2))&lt;=0,"Niet mogelijk",($C6/($G6-$L$2)))</f>
        <v>264.4945673399468</v>
      </c>
      <c r="M6" s="51"/>
      <c r="N6" s="51"/>
      <c r="O6" s="53">
        <f t="shared" si="3"/>
        <v>198.77570103594928</v>
      </c>
    </row>
    <row r="7" spans="1:18" ht="15.75" thickBot="1" x14ac:dyDescent="0.3">
      <c r="A7" s="182"/>
      <c r="B7" s="9" t="s">
        <v>0</v>
      </c>
      <c r="C7" s="10">
        <f t="shared" si="0"/>
        <v>200</v>
      </c>
      <c r="D7" s="10">
        <f t="shared" si="1"/>
        <v>200</v>
      </c>
      <c r="E7" s="11">
        <f>0.25*F7</f>
        <v>2.5153979958021795</v>
      </c>
      <c r="F7" s="11">
        <f>(C7/(0.25*0.25*PI()))^(1/3)</f>
        <v>10.061591983208718</v>
      </c>
      <c r="G7" s="29">
        <f>0.4*F7</f>
        <v>4.024636793283487</v>
      </c>
      <c r="H7" s="54">
        <f>($C7/$G7)</f>
        <v>49.693925258987321</v>
      </c>
      <c r="I7" s="55">
        <f>($C7*1.1/$G7)</f>
        <v>54.663317784886061</v>
      </c>
      <c r="J7" s="55">
        <f>($C7/$G7)</f>
        <v>49.693925258987321</v>
      </c>
      <c r="K7" s="55">
        <f t="shared" si="2"/>
        <v>54.663317784886061</v>
      </c>
      <c r="L7" s="56">
        <f>IF(($C7/($G7-$L$2))&lt;=0,"Niet mogelijk",($C7/($G7-$L$2)))</f>
        <v>52.985230355375116</v>
      </c>
      <c r="M7" s="55"/>
      <c r="N7" s="55"/>
      <c r="O7" s="57">
        <f t="shared" si="3"/>
        <v>49.693925258987321</v>
      </c>
    </row>
    <row r="8" spans="1:18" s="3" customFormat="1" x14ac:dyDescent="0.25">
      <c r="A8" s="177" t="s">
        <v>4</v>
      </c>
      <c r="B8" s="4" t="s">
        <v>23</v>
      </c>
      <c r="C8" s="7">
        <f t="shared" si="0"/>
        <v>200</v>
      </c>
      <c r="D8" s="7">
        <f>2*C8</f>
        <v>400</v>
      </c>
      <c r="E8" s="19">
        <f>F8</f>
        <v>3.9929454246550797</v>
      </c>
      <c r="F8" s="19">
        <f>(C8/(1*1*PI()))^(1/3)</f>
        <v>3.9929454246550797</v>
      </c>
      <c r="G8" s="28">
        <f>0.1*F8</f>
        <v>0.399294542465508</v>
      </c>
      <c r="H8" s="50">
        <f>($C8*(1+$G8/$F8)/$G8)</f>
        <v>550.97171787416596</v>
      </c>
      <c r="I8" s="51">
        <f>($C8*(1.1+G8/F8)/$G8)</f>
        <v>601.06005586272647</v>
      </c>
      <c r="J8" s="51">
        <f>($C7*(1+0.25+G8/F8)/$G8)</f>
        <v>676.19256284556718</v>
      </c>
      <c r="K8" s="51">
        <f t="shared" ref="K8:K11" si="4">($C7*(1.1+0.1+G8/F8)/$G8)</f>
        <v>651.14839385128698</v>
      </c>
      <c r="L8" s="52">
        <f>IF(($C8*(1+G8/F8)/($G8-$L$2))&lt;=0,"Niet mogelijk",($C8*(1+G8/F8)/($G8-$L$2)))</f>
        <v>1473.5970676947375</v>
      </c>
      <c r="M8" s="51">
        <f>((0.25*$C8*2+$G$8/$F$8*$C8)/$G8)</f>
        <v>300.53002793136318</v>
      </c>
      <c r="N8" s="51">
        <f>((0.5*$C8*2+$G8/$F8*$C8)/$G8)</f>
        <v>550.97171787416585</v>
      </c>
      <c r="O8" s="53">
        <f>(($C8*2+$G8/$F8*$C8)/$G8)</f>
        <v>1051.8550977597711</v>
      </c>
    </row>
    <row r="9" spans="1:18" s="3" customFormat="1" ht="15.75" thickBot="1" x14ac:dyDescent="0.3">
      <c r="A9" s="178"/>
      <c r="B9" s="20" t="s">
        <v>0</v>
      </c>
      <c r="C9" s="10">
        <f t="shared" si="0"/>
        <v>200</v>
      </c>
      <c r="D9" s="10">
        <f>2*C9</f>
        <v>400</v>
      </c>
      <c r="E9" s="13">
        <f>F9</f>
        <v>3.9929454246550797</v>
      </c>
      <c r="F9" s="13">
        <f>(C9/(1*1*PI()))^(1/3)</f>
        <v>3.9929454246550797</v>
      </c>
      <c r="G9" s="29">
        <f>0.4*F9</f>
        <v>1.597178169862032</v>
      </c>
      <c r="H9" s="54">
        <f>($C9*(1+$G9/$F9)/$G9)</f>
        <v>175.30918295996184</v>
      </c>
      <c r="I9" s="55">
        <f>($C9*(1.1+G9/F9)/$G9)</f>
        <v>187.831267457102</v>
      </c>
      <c r="J9" s="55">
        <f>($C8*(1+0.25+G9/F9)/$G9)</f>
        <v>206.61439420281218</v>
      </c>
      <c r="K9" s="55">
        <f t="shared" si="4"/>
        <v>200.35335195424213</v>
      </c>
      <c r="L9" s="56">
        <f>IF(($C9*(1+G9/F9)/($G9-$L$2))&lt;=0,"Niet mogelijk",($C9*(1+G9/F9)/($G9-$L$2)))</f>
        <v>207.84184769611841</v>
      </c>
      <c r="M9" s="55">
        <f>((0.25*$C9*2+$G$9/$F$9*$C9)/$G9)</f>
        <v>112.69876047426119</v>
      </c>
      <c r="N9" s="55">
        <f>((0.5*$C9*2+$G9/$F9*$C9)/$G9)</f>
        <v>175.30918295996184</v>
      </c>
      <c r="O9" s="57">
        <f>(($C9*2+$G9/$F9*$C9)/$G9)</f>
        <v>300.53002793136318</v>
      </c>
    </row>
    <row r="10" spans="1:18" s="3" customFormat="1" x14ac:dyDescent="0.25">
      <c r="A10" s="177" t="s">
        <v>3</v>
      </c>
      <c r="B10" s="4" t="s">
        <v>23</v>
      </c>
      <c r="C10" s="7">
        <f t="shared" si="0"/>
        <v>200</v>
      </c>
      <c r="D10" s="7">
        <f>2*C10</f>
        <v>400</v>
      </c>
      <c r="E10" s="19">
        <f>0.5*F10</f>
        <v>3.1692028837745414</v>
      </c>
      <c r="F10" s="19">
        <f>(C10/(0.5*0.5*PI()))^(1/3)</f>
        <v>6.3384057675490828</v>
      </c>
      <c r="G10" s="28">
        <f>0.1*F10</f>
        <v>0.63384057675490835</v>
      </c>
      <c r="H10" s="50">
        <f>($C10*(1+$G10/$F10)/$G10)</f>
        <v>347.09043262320046</v>
      </c>
      <c r="I10" s="51">
        <f>($C10*(1.1+G10/F10)/$G10)</f>
        <v>378.64410831621865</v>
      </c>
      <c r="J10" s="51">
        <f>($C9*(1+0.25+G10/F10)/$G10)</f>
        <v>425.97462185574597</v>
      </c>
      <c r="K10" s="51">
        <f t="shared" si="4"/>
        <v>410.19778400923695</v>
      </c>
      <c r="L10" s="52">
        <f>IF(($C10*(1+G10/F10)/($G10-$L$2))&lt;=0,"Niet mogelijk",($C10*(1+G10/F10)/($G10-$L$2)))</f>
        <v>573.15462023306475</v>
      </c>
      <c r="M10" s="51">
        <f>((0.25*$C10*2+$G$10/$F$10*$C10)/$G10)</f>
        <v>189.32205415810932</v>
      </c>
      <c r="N10" s="51">
        <f>((0.5*$C10*2+$G10/$F10*$C10)/$G10)</f>
        <v>347.0904326232004</v>
      </c>
      <c r="O10" s="53">
        <f>(($C10*2+$G10/$F10*$C10)/$G10)</f>
        <v>662.62718955338255</v>
      </c>
    </row>
    <row r="11" spans="1:18" s="3" customFormat="1" ht="15.75" thickBot="1" x14ac:dyDescent="0.3">
      <c r="A11" s="178"/>
      <c r="B11" s="20" t="s">
        <v>0</v>
      </c>
      <c r="C11" s="10">
        <f t="shared" si="0"/>
        <v>200</v>
      </c>
      <c r="D11" s="10">
        <f>2*C11</f>
        <v>400</v>
      </c>
      <c r="E11" s="13">
        <f>0.5*F11</f>
        <v>3.1692028837745414</v>
      </c>
      <c r="F11" s="13">
        <f>(C11/(0.5*0.5*PI()))^(1/3)</f>
        <v>6.3384057675490828</v>
      </c>
      <c r="G11" s="29">
        <f>0.4*F11</f>
        <v>2.5353623070196334</v>
      </c>
      <c r="H11" s="54">
        <f>($C11*(1+$G11/$F11)/$G11)</f>
        <v>110.43786492556376</v>
      </c>
      <c r="I11" s="55">
        <f>($C11*(1.1+G11/F11)/$G11)</f>
        <v>118.32628384881832</v>
      </c>
      <c r="J11" s="55">
        <f>($C10*(1+0.25+G11/F11)/$G11)</f>
        <v>130.15891223370016</v>
      </c>
      <c r="K11" s="55">
        <f t="shared" si="4"/>
        <v>126.21470277207287</v>
      </c>
      <c r="L11" s="56">
        <f>IF(($C11*(1+G11/F11)/($G11-$L$2))&lt;=0,"Niet mogelijk",($C11*(1+G11/F11)/($G11-$L$2)))</f>
        <v>122.51886676347223</v>
      </c>
      <c r="M11" s="55">
        <f>((0.25*$C11*2+$G$11/$F$11*$C11)/$G11)</f>
        <v>70.99577030929099</v>
      </c>
      <c r="N11" s="55">
        <f>((0.5*$C11*2+$G11/$F11*$C11)/$G11)</f>
        <v>110.43786492556376</v>
      </c>
      <c r="O11" s="57">
        <f>(($C11*2+$G11/$F11*$C11)/$G11)</f>
        <v>189.32205415810932</v>
      </c>
    </row>
    <row r="12" spans="1:18" s="3" customFormat="1" x14ac:dyDescent="0.25">
      <c r="A12" s="177" t="s">
        <v>2</v>
      </c>
      <c r="B12" s="4" t="s">
        <v>23</v>
      </c>
      <c r="C12" s="7">
        <f t="shared" si="0"/>
        <v>200</v>
      </c>
      <c r="D12" s="7">
        <f>4*C12</f>
        <v>800</v>
      </c>
      <c r="E12" s="19">
        <f>0.5*F12</f>
        <v>3.1692028837745414</v>
      </c>
      <c r="F12" s="19">
        <f>(C12/(0.5*0.5*PI()))^(1/3)</f>
        <v>6.3384057675490828</v>
      </c>
      <c r="G12" s="28">
        <f>0.1*F12</f>
        <v>0.63384057675490835</v>
      </c>
      <c r="H12" s="50">
        <f>($C12*(1+3*$G12/$F12)/$G12)</f>
        <v>410.19778400923684</v>
      </c>
      <c r="I12" s="51">
        <f>($C12*(1.1+3*G12/F12)/$G12)</f>
        <v>441.75145970225503</v>
      </c>
      <c r="J12" s="51">
        <f>($C11*(1+3*0.25+3*G12/F12)/$G12)</f>
        <v>646.85035170687343</v>
      </c>
      <c r="K12" s="51">
        <f t="shared" ref="K12:K13" si="5">($C11*(1.1+3*0.1+3*G12/F12)/$G12)</f>
        <v>536.41248678130978</v>
      </c>
      <c r="L12" s="52">
        <f>IF(($C12*(1+3*G12/F12)/($G12-$L$2))&lt;=0,"Niet mogelijk",($C12*(1+3*G12/F12)/($G12-$L$2)))</f>
        <v>677.36455118453091</v>
      </c>
      <c r="M12" s="51">
        <f>((0.25*$C12*4+3*$G$12/$F$12*$C$12)/$G12)</f>
        <v>410.19778400923684</v>
      </c>
      <c r="N12" s="51">
        <f>((0.5*$C12*4+3*$G12/$F12*$C$12)/$G12)</f>
        <v>725.73454093941905</v>
      </c>
      <c r="O12" s="53">
        <f>(($C12*4+3*$G12/$F12*$C$12)/$G12)</f>
        <v>1356.8080547997833</v>
      </c>
    </row>
    <row r="13" spans="1:18" s="3" customFormat="1" ht="15.75" thickBot="1" x14ac:dyDescent="0.3">
      <c r="A13" s="178"/>
      <c r="B13" s="20" t="s">
        <v>0</v>
      </c>
      <c r="C13" s="10">
        <f t="shared" si="0"/>
        <v>200</v>
      </c>
      <c r="D13" s="10">
        <f>4*C13</f>
        <v>800</v>
      </c>
      <c r="E13" s="13">
        <f>0.5*F13</f>
        <v>3.1692028837745414</v>
      </c>
      <c r="F13" s="13">
        <f>(C13/(0.5*0.5*PI()))^(1/3)</f>
        <v>6.3384057675490828</v>
      </c>
      <c r="G13" s="29">
        <f>0.4*F13</f>
        <v>2.5353623070196334</v>
      </c>
      <c r="H13" s="54">
        <f>($C13*(1+3*$G13/$F13)/$G13)</f>
        <v>173.54521631160023</v>
      </c>
      <c r="I13" s="55">
        <f>($C13*(1.1+3*G13/F13)/$G13)</f>
        <v>181.43363523485473</v>
      </c>
      <c r="J13" s="55">
        <f>($C12*(1+3*0.25+3*G13/F13)/$G13)</f>
        <v>232.70835823600936</v>
      </c>
      <c r="K13" s="55">
        <f t="shared" si="5"/>
        <v>205.09889200461842</v>
      </c>
      <c r="L13" s="56">
        <f>IF(($C13*(1+3*G13/F13)/($G13-$L$2))&lt;=0,"Niet mogelijk",($C13*(1+3*G13/F13)/($G13-$L$2)))</f>
        <v>192.52964777117069</v>
      </c>
      <c r="M13" s="55">
        <f>((0.25*$C13*4+3*$G$13/$F$13*$C13)/$G13)</f>
        <v>173.5452163116002</v>
      </c>
      <c r="N13" s="55">
        <f>((0.5*$C13*4+3*$G13/$F13*$C13)/$G13)</f>
        <v>252.42940554414574</v>
      </c>
      <c r="O13" s="57">
        <f>(($C13*4+3*$G13/$F13*$C13)/$G13)</f>
        <v>410.19778400923684</v>
      </c>
    </row>
    <row r="14" spans="1:18" s="3" customFormat="1" ht="30" customHeight="1" x14ac:dyDescent="0.25">
      <c r="A14" s="177" t="s">
        <v>1</v>
      </c>
      <c r="B14" s="4" t="s">
        <v>23</v>
      </c>
      <c r="C14" s="7">
        <f t="shared" si="0"/>
        <v>200</v>
      </c>
      <c r="D14" s="7">
        <f>(1+3*0.25)*C14</f>
        <v>350</v>
      </c>
      <c r="E14" s="19">
        <f>F14</f>
        <v>3.9929454246550797</v>
      </c>
      <c r="F14" s="19">
        <f>(C14/(1*1*PI()))^(1/3)</f>
        <v>3.9929454246550797</v>
      </c>
      <c r="G14" s="28">
        <f>0.1*F14</f>
        <v>0.399294542465508</v>
      </c>
      <c r="H14" s="50">
        <f>($C14*(1+3*0.25*$G14/$F14)/$G14)</f>
        <v>538.44963337702575</v>
      </c>
      <c r="I14" s="51">
        <f>($C14*(1.1+3*0.25*G14/F14)/$G14)</f>
        <v>588.53797136558626</v>
      </c>
      <c r="J14" s="51">
        <f>($C13*(1+3*0.25*0.25+3*0.25*G14/F14)/$G14)</f>
        <v>632.36526710557666</v>
      </c>
      <c r="K14" s="51">
        <f t="shared" ref="K14:K15" si="6">($C13*(1.1+3*0.25*0.1+3*0.25*G14/F14)/$G14)</f>
        <v>626.10422485700667</v>
      </c>
      <c r="L14" s="52">
        <f>IF(($C14*(1+3*0.25*G14/F14)/($G14-$L$2))&lt;=0,"Niet mogelijk",($C14*(1+3*0.25*G14/F14)/($G14-$L$2)))</f>
        <v>1440.1062252471295</v>
      </c>
      <c r="M14" s="51">
        <f>((0.25*$C14*1.75+3*0.25*$G$14/$F$14*$C14)/$G14)</f>
        <v>256.70273219137272</v>
      </c>
      <c r="N14" s="51">
        <f>((0.5*$C14*1.75+3*0.25*$G14/$F14*$C14)/$G14)</f>
        <v>475.83921089132502</v>
      </c>
      <c r="O14" s="53">
        <f>(($C14*1.75+3*0.25*$G14/$F14*$C14)/$G14)</f>
        <v>914.11216829122964</v>
      </c>
    </row>
    <row r="15" spans="1:18" s="3" customFormat="1" ht="15.75" thickBot="1" x14ac:dyDescent="0.3">
      <c r="A15" s="178"/>
      <c r="B15" s="20" t="s">
        <v>0</v>
      </c>
      <c r="C15" s="10">
        <f t="shared" si="0"/>
        <v>200</v>
      </c>
      <c r="D15" s="10">
        <f>(1+3*0.25)*C15</f>
        <v>350</v>
      </c>
      <c r="E15" s="13">
        <f>F15</f>
        <v>3.9929454246550797</v>
      </c>
      <c r="F15" s="13">
        <f>(C15/(1*1*PI()))^(1/3)</f>
        <v>3.9929454246550797</v>
      </c>
      <c r="G15" s="29">
        <f>0.4*F15</f>
        <v>1.597178169862032</v>
      </c>
      <c r="H15" s="54">
        <f>($C15*(1+3*0.25*$G15/$F15)/$G15)</f>
        <v>162.78709846282172</v>
      </c>
      <c r="I15" s="55">
        <f>($C15*(1.1+3*0.25*G15/F15)/$G15)</f>
        <v>175.30918295996184</v>
      </c>
      <c r="J15" s="55">
        <f>($C14*(1+3*0.25*0.25+3*0.25*G15/F15)/$G15)</f>
        <v>186.26600689495947</v>
      </c>
      <c r="K15" s="55">
        <f t="shared" si="6"/>
        <v>184.70074633281695</v>
      </c>
      <c r="L15" s="56">
        <f>IF(($C15*(1+3*0.25*G15/F15)/($G15-$L$2))&lt;=0,"Niet mogelijk",($C15*(1+3*0.25*G15/F15)/($G15-$L$2)))</f>
        <v>192.99600143210995</v>
      </c>
      <c r="M15" s="55">
        <f>((0.25*$C15*1.75+3*0.25*$G$15/$F$15*$C15)/$G15)</f>
        <v>92.350373166408474</v>
      </c>
      <c r="N15" s="55">
        <f>((0.5*$C15*1.75+3*0.25*$G15/$F15*$C15)/$G15)</f>
        <v>147.13449284139656</v>
      </c>
      <c r="O15" s="57">
        <f>(($C15*1.75+3*0.25*$G15/$F15*$C15)/$G15)</f>
        <v>256.70273219137272</v>
      </c>
    </row>
    <row r="16" spans="1:18" ht="15.75" thickBot="1" x14ac:dyDescent="0.3">
      <c r="A16" s="185" t="s">
        <v>28</v>
      </c>
      <c r="B16" s="186"/>
      <c r="C16" s="186"/>
      <c r="D16" s="186"/>
      <c r="E16" s="186"/>
      <c r="F16" s="186"/>
      <c r="G16" s="186"/>
      <c r="H16" s="186"/>
      <c r="I16" s="186"/>
      <c r="J16" s="186"/>
      <c r="K16" s="186"/>
      <c r="L16" s="186"/>
      <c r="M16" s="186"/>
      <c r="N16" s="186"/>
      <c r="O16" s="187"/>
    </row>
    <row r="17" spans="1:15" ht="45.75" thickBot="1" x14ac:dyDescent="0.3">
      <c r="A17" s="41" t="s">
        <v>16</v>
      </c>
      <c r="B17" s="42" t="s">
        <v>15</v>
      </c>
      <c r="C17" s="86" t="s">
        <v>56</v>
      </c>
      <c r="D17" s="86" t="s">
        <v>57</v>
      </c>
      <c r="E17" s="42" t="s">
        <v>14</v>
      </c>
      <c r="F17" s="42" t="s">
        <v>13</v>
      </c>
      <c r="G17" s="68" t="s">
        <v>12</v>
      </c>
      <c r="H17" s="68" t="s">
        <v>11</v>
      </c>
      <c r="I17" s="68" t="s">
        <v>10</v>
      </c>
      <c r="J17" s="68" t="s">
        <v>7</v>
      </c>
      <c r="K17" s="68" t="s">
        <v>58</v>
      </c>
      <c r="L17" s="152" t="s">
        <v>81</v>
      </c>
      <c r="M17" s="36" t="s">
        <v>9</v>
      </c>
      <c r="N17" s="68" t="s">
        <v>8</v>
      </c>
      <c r="O17" s="69" t="s">
        <v>22</v>
      </c>
    </row>
    <row r="18" spans="1:15" x14ac:dyDescent="0.25">
      <c r="A18" s="179" t="s">
        <v>6</v>
      </c>
      <c r="B18" s="4" t="s">
        <v>24</v>
      </c>
      <c r="C18" s="7">
        <f>C4</f>
        <v>200</v>
      </c>
      <c r="D18" s="7">
        <f>C18</f>
        <v>200</v>
      </c>
      <c r="E18" s="6">
        <f>2.5*F18</f>
        <v>5.4192607013928908</v>
      </c>
      <c r="F18" s="6">
        <f>(C18/(2.5*2.5*PI()))^(1/3)</f>
        <v>2.1677042805571562</v>
      </c>
      <c r="G18" s="91">
        <v>0.5</v>
      </c>
      <c r="H18" s="50">
        <f>($C18/$G18)</f>
        <v>400</v>
      </c>
      <c r="I18" s="51">
        <f>($C18*1.1/$G18)</f>
        <v>440.00000000000006</v>
      </c>
      <c r="J18" s="51">
        <f>($C18/$G18)</f>
        <v>400</v>
      </c>
      <c r="K18" s="51">
        <f t="shared" ref="K18:K21" si="7">($C18*1.1/$G18)</f>
        <v>440.00000000000006</v>
      </c>
      <c r="L18" s="52">
        <f>IF(($C18/($G18-$L$2))&lt;=0,"Niet mogelijk",($C18/($G18-$L$2)))</f>
        <v>800</v>
      </c>
      <c r="M18" s="51"/>
      <c r="N18" s="51"/>
      <c r="O18" s="53">
        <f>H18</f>
        <v>400</v>
      </c>
    </row>
    <row r="19" spans="1:15" ht="15.75" thickBot="1" x14ac:dyDescent="0.3">
      <c r="A19" s="180"/>
      <c r="B19" s="9" t="s">
        <v>25</v>
      </c>
      <c r="C19" s="10">
        <f t="shared" ref="C19:C29" si="8">C18</f>
        <v>200</v>
      </c>
      <c r="D19" s="10">
        <f t="shared" ref="D19:D21" si="9">C19</f>
        <v>200</v>
      </c>
      <c r="E19" s="11">
        <f>2.5*F19</f>
        <v>5.4192607013928908</v>
      </c>
      <c r="F19" s="11">
        <f>(C19/(2.5*2.5*PI()))^(1/3)</f>
        <v>2.1677042805571562</v>
      </c>
      <c r="G19" s="91">
        <v>3</v>
      </c>
      <c r="H19" s="54">
        <f>($C19/$G19)</f>
        <v>66.666666666666671</v>
      </c>
      <c r="I19" s="55">
        <f>($C19*1.1/$G19)</f>
        <v>73.333333333333343</v>
      </c>
      <c r="J19" s="55">
        <f>($C19/$G19)</f>
        <v>66.666666666666671</v>
      </c>
      <c r="K19" s="55">
        <f t="shared" si="7"/>
        <v>73.333333333333343</v>
      </c>
      <c r="L19" s="56">
        <f>IF(($C19/($G19-$L$2))&lt;=0,"Niet mogelijk",($C19/($G19-$L$2)))</f>
        <v>72.727272727272734</v>
      </c>
      <c r="M19" s="55"/>
      <c r="N19" s="55"/>
      <c r="O19" s="57">
        <f t="shared" ref="O19:O21" si="10">H19</f>
        <v>66.666666666666671</v>
      </c>
    </row>
    <row r="20" spans="1:15" x14ac:dyDescent="0.25">
      <c r="A20" s="181" t="s">
        <v>5</v>
      </c>
      <c r="B20" s="4" t="s">
        <v>24</v>
      </c>
      <c r="C20" s="7">
        <f t="shared" si="8"/>
        <v>200</v>
      </c>
      <c r="D20" s="7">
        <f t="shared" si="9"/>
        <v>200</v>
      </c>
      <c r="E20" s="6">
        <f>0.25*F20</f>
        <v>2.5153979958021795</v>
      </c>
      <c r="F20" s="6">
        <f>(C20/(0.25*0.25*PI()))^(1/3)</f>
        <v>10.061591983208718</v>
      </c>
      <c r="G20" s="28">
        <f>G$18</f>
        <v>0.5</v>
      </c>
      <c r="H20" s="50">
        <f>($C20/$G20)</f>
        <v>400</v>
      </c>
      <c r="I20" s="51">
        <f>($C20*1.1/$G20)</f>
        <v>440.00000000000006</v>
      </c>
      <c r="J20" s="51">
        <f>($C20/$G20)</f>
        <v>400</v>
      </c>
      <c r="K20" s="51">
        <f t="shared" si="7"/>
        <v>440.00000000000006</v>
      </c>
      <c r="L20" s="52">
        <f>IF(($C20/($G20-$L$2))&lt;=0,"Niet mogelijk",($C20/($G20-$L$2)))</f>
        <v>800</v>
      </c>
      <c r="M20" s="51"/>
      <c r="N20" s="51"/>
      <c r="O20" s="53">
        <f t="shared" si="10"/>
        <v>400</v>
      </c>
    </row>
    <row r="21" spans="1:15" ht="15.75" thickBot="1" x14ac:dyDescent="0.3">
      <c r="A21" s="182"/>
      <c r="B21" s="9" t="s">
        <v>25</v>
      </c>
      <c r="C21" s="10">
        <f t="shared" si="8"/>
        <v>200</v>
      </c>
      <c r="D21" s="10">
        <f t="shared" si="9"/>
        <v>200</v>
      </c>
      <c r="E21" s="11">
        <f>0.25*F21</f>
        <v>2.5153979958021795</v>
      </c>
      <c r="F21" s="11">
        <f>(C21/(0.25*0.25*PI()))^(1/3)</f>
        <v>10.061591983208718</v>
      </c>
      <c r="G21" s="29">
        <f>G$19</f>
        <v>3</v>
      </c>
      <c r="H21" s="54">
        <f>($C21/$G21)</f>
        <v>66.666666666666671</v>
      </c>
      <c r="I21" s="55">
        <f>($C21*1.1/$G21)</f>
        <v>73.333333333333343</v>
      </c>
      <c r="J21" s="55">
        <f>($C21/$G21)</f>
        <v>66.666666666666671</v>
      </c>
      <c r="K21" s="55">
        <f t="shared" si="7"/>
        <v>73.333333333333343</v>
      </c>
      <c r="L21" s="56">
        <f>IF(($C21/($G21-$L$2))&lt;=0,"Niet mogelijk",($C21/($G21-$L$2)))</f>
        <v>72.727272727272734</v>
      </c>
      <c r="M21" s="55"/>
      <c r="N21" s="55"/>
      <c r="O21" s="57">
        <f t="shared" si="10"/>
        <v>66.666666666666671</v>
      </c>
    </row>
    <row r="22" spans="1:15" x14ac:dyDescent="0.25">
      <c r="A22" s="177" t="s">
        <v>4</v>
      </c>
      <c r="B22" s="4" t="s">
        <v>24</v>
      </c>
      <c r="C22" s="7">
        <f t="shared" si="8"/>
        <v>200</v>
      </c>
      <c r="D22" s="7">
        <f>2*C22</f>
        <v>400</v>
      </c>
      <c r="E22" s="19">
        <f>F22</f>
        <v>3.9929454246550797</v>
      </c>
      <c r="F22" s="19">
        <f>(C22/(1*1*PI()))^(1/3)</f>
        <v>3.9929454246550797</v>
      </c>
      <c r="G22" s="28">
        <f t="shared" ref="G22" si="11">G$18</f>
        <v>0.5</v>
      </c>
      <c r="H22" s="50">
        <f>($C22*(1+$G22/$F22)/$G22)</f>
        <v>450.08833798856057</v>
      </c>
      <c r="I22" s="51">
        <f>($C22*(1.1+G22/F22)/$G22)</f>
        <v>490.08833798856062</v>
      </c>
      <c r="J22" s="51">
        <f>($C21*(1+0.25+G22/F22)/$G22)</f>
        <v>550.08833798856051</v>
      </c>
      <c r="K22" s="51">
        <f>($C21*(1.1+0.1+G22/F22)/$G22)</f>
        <v>530.08833798856062</v>
      </c>
      <c r="L22" s="52">
        <f>IF(($C22*(1+G22/F22)/($G22-$L$2))&lt;=0,"Niet mogelijk",($C22*(1+G22/F22)/($G22-$L$2)))</f>
        <v>900.17667597712114</v>
      </c>
      <c r="M22" s="51">
        <f>((0.25*$C22*2+$G$22/$F$22*$C22)/$G22)</f>
        <v>250.08833798856054</v>
      </c>
      <c r="N22" s="51">
        <f>((0.5*$C22*2+$G22/$F22*$C22)/$G22)</f>
        <v>450.08833798856051</v>
      </c>
      <c r="O22" s="53">
        <f>(($C22*2+$G22/$F22*$C22)/$G22)</f>
        <v>850.08833798856051</v>
      </c>
    </row>
    <row r="23" spans="1:15" ht="15.75" thickBot="1" x14ac:dyDescent="0.3">
      <c r="A23" s="178"/>
      <c r="B23" s="9" t="s">
        <v>25</v>
      </c>
      <c r="C23" s="10">
        <f t="shared" si="8"/>
        <v>200</v>
      </c>
      <c r="D23" s="10">
        <f>2*C23</f>
        <v>400</v>
      </c>
      <c r="E23" s="13">
        <f>F23</f>
        <v>3.9929454246550797</v>
      </c>
      <c r="F23" s="13">
        <f>(C23/(1*1*PI()))^(1/3)</f>
        <v>3.9929454246550797</v>
      </c>
      <c r="G23" s="29">
        <f t="shared" ref="G23" si="12">G$19</f>
        <v>3</v>
      </c>
      <c r="H23" s="54">
        <f>($C23*(1+$G23/$F23)/$G23)</f>
        <v>116.7550046552272</v>
      </c>
      <c r="I23" s="55">
        <f>($C23*(1.1+G23/F23)/$G23)</f>
        <v>123.42167132189387</v>
      </c>
      <c r="J23" s="55">
        <f>($C22*(1+0.25+G23/F23)/$G23)</f>
        <v>133.42167132189385</v>
      </c>
      <c r="K23" s="55">
        <f t="shared" ref="K23:K25" si="13">($C22*(1.1+0.1+G23/F23)/$G23)</f>
        <v>130.08833798856054</v>
      </c>
      <c r="L23" s="56">
        <f>IF(($C23*(1+G23/F23)/($G23-$L$2))&lt;=0,"Niet mogelijk",($C23*(1+G23/F23)/($G23-$L$2)))</f>
        <v>127.36909598752058</v>
      </c>
      <c r="M23" s="55">
        <f>((0.25*$C23*2+$G$23/$F$23*$C23)/$G23)</f>
        <v>83.421671321893868</v>
      </c>
      <c r="N23" s="55">
        <f>((0.5*$C23*2+$G23/$F23*$C23)/$G23)</f>
        <v>116.7550046552272</v>
      </c>
      <c r="O23" s="57">
        <f>(($C23*2+$G23/$F23*$C23)/$G23)</f>
        <v>183.42167132189388</v>
      </c>
    </row>
    <row r="24" spans="1:15" x14ac:dyDescent="0.25">
      <c r="A24" s="177" t="s">
        <v>3</v>
      </c>
      <c r="B24" s="4" t="s">
        <v>24</v>
      </c>
      <c r="C24" s="7">
        <f t="shared" si="8"/>
        <v>200</v>
      </c>
      <c r="D24" s="7">
        <f>2*C24</f>
        <v>400</v>
      </c>
      <c r="E24" s="19">
        <f>0.5*F24</f>
        <v>3.1692028837745414</v>
      </c>
      <c r="F24" s="19">
        <f>(C24/(0.5*0.5*PI()))^(1/3)</f>
        <v>6.3384057675490828</v>
      </c>
      <c r="G24" s="28">
        <f t="shared" ref="G24" si="14">G$18</f>
        <v>0.5</v>
      </c>
      <c r="H24" s="50">
        <f>($C24*(1+$G24/$F24)/$G24)</f>
        <v>431.55367569301825</v>
      </c>
      <c r="I24" s="51">
        <f>($C24*(1.1+G24/F24)/$G24)</f>
        <v>471.55367569301825</v>
      </c>
      <c r="J24" s="51">
        <f>($C23*(1+0.25+G24/F24)/$G24)</f>
        <v>531.55367569301825</v>
      </c>
      <c r="K24" s="51">
        <f t="shared" si="13"/>
        <v>511.55367569301831</v>
      </c>
      <c r="L24" s="52">
        <f>IF(($C24*(1+G24/F24)/($G24-$L$2))&lt;=0,"Niet mogelijk",($C24*(1+G24/F24)/($G24-$L$2)))</f>
        <v>863.1073513860365</v>
      </c>
      <c r="M24" s="51">
        <f>((0.25*$C24*2+$G$24/$F$24*$C24)/$G24)</f>
        <v>231.55367569301822</v>
      </c>
      <c r="N24" s="51">
        <f>((0.5*$C24*2+$G24/$F24*$C24)/$G24)</f>
        <v>431.55367569301825</v>
      </c>
      <c r="O24" s="53">
        <f>(($C24*2+$G24/$F24*$C24)/$G24)</f>
        <v>831.55367569301825</v>
      </c>
    </row>
    <row r="25" spans="1:15" ht="15.75" thickBot="1" x14ac:dyDescent="0.3">
      <c r="A25" s="178"/>
      <c r="B25" s="9" t="s">
        <v>25</v>
      </c>
      <c r="C25" s="10">
        <f t="shared" si="8"/>
        <v>200</v>
      </c>
      <c r="D25" s="10">
        <f>2*C25</f>
        <v>400</v>
      </c>
      <c r="E25" s="13">
        <f>0.5*F25</f>
        <v>3.1692028837745414</v>
      </c>
      <c r="F25" s="13">
        <f>(C25/(0.5*0.5*PI()))^(1/3)</f>
        <v>6.3384057675490828</v>
      </c>
      <c r="G25" s="29">
        <f t="shared" ref="G25" si="15">G$19</f>
        <v>3</v>
      </c>
      <c r="H25" s="54">
        <f>($C25*(1+$G25/$F25)/$G25)</f>
        <v>98.220342359684878</v>
      </c>
      <c r="I25" s="55">
        <f>($C25*(1.1+G25/F25)/$G25)</f>
        <v>104.88700902635156</v>
      </c>
      <c r="J25" s="55">
        <f>($C24*(1+0.25+G25/F25)/$G25)</f>
        <v>114.88700902635155</v>
      </c>
      <c r="K25" s="55">
        <f t="shared" si="13"/>
        <v>111.55367569301823</v>
      </c>
      <c r="L25" s="56">
        <f>IF(($C25*(1+G25/F25)/($G25-$L$2))&lt;=0,"Niet mogelijk",($C25*(1+G25/F25)/($G25-$L$2)))</f>
        <v>107.14946439238351</v>
      </c>
      <c r="M25" s="55">
        <f>((0.25*$C25*2+$G$25/$F$25*$C25)/$G25)</f>
        <v>64.887009026351549</v>
      </c>
      <c r="N25" s="55">
        <f>((0.5*$C25*2+$G25/$F25*$C25)/$G25)</f>
        <v>98.220342359684878</v>
      </c>
      <c r="O25" s="57">
        <f>(($C25*2+$G25/$F25*$C25)/$G25)</f>
        <v>164.88700902635154</v>
      </c>
    </row>
    <row r="26" spans="1:15" x14ac:dyDescent="0.25">
      <c r="A26" s="177" t="s">
        <v>2</v>
      </c>
      <c r="B26" s="4" t="s">
        <v>24</v>
      </c>
      <c r="C26" s="7">
        <f t="shared" si="8"/>
        <v>200</v>
      </c>
      <c r="D26" s="7">
        <f>4*C26</f>
        <v>800</v>
      </c>
      <c r="E26" s="19">
        <f>0.5*F26</f>
        <v>3.1692028837745414</v>
      </c>
      <c r="F26" s="19">
        <f>(C26/(0.5*0.5*PI()))^(1/3)</f>
        <v>6.3384057675490828</v>
      </c>
      <c r="G26" s="28">
        <f t="shared" ref="G26" si="16">G$18</f>
        <v>0.5</v>
      </c>
      <c r="H26" s="50">
        <f>($C26*(1+3*$G26/$F26)/$G26)</f>
        <v>494.66102707905469</v>
      </c>
      <c r="I26" s="51">
        <f>($C26*(1.1+3*G26/F26)/$G26)</f>
        <v>534.66102707905475</v>
      </c>
      <c r="J26" s="51">
        <f>($C25*(1+3*0.25+3*G26/F26)/$G26)</f>
        <v>794.66102707905475</v>
      </c>
      <c r="K26" s="51">
        <f>($C25*(1.1+3*0.1+3*G26/F26)/$G26)</f>
        <v>654.66102707905463</v>
      </c>
      <c r="L26" s="52">
        <f>IF(($C26*(1+3*G26/F26)/($G26-$L$2))&lt;=0,"Niet mogelijk",($C26*(1+3*G26/F26)/($G26-$L$2)))</f>
        <v>989.32205415810938</v>
      </c>
      <c r="M26" s="51">
        <f>((0.25*$C26*4+3*$G$26/$F$26*$C26)/$G26)</f>
        <v>494.66102707905463</v>
      </c>
      <c r="N26" s="51">
        <f>((0.5*$C26*4+3*$G26/$F26*$C$12)/$G26)</f>
        <v>894.66102707905463</v>
      </c>
      <c r="O26" s="53">
        <f>(($C26*4+3*$G26/$F26*$C$12)/$G26)</f>
        <v>1694.6610270790547</v>
      </c>
    </row>
    <row r="27" spans="1:15" ht="15.75" thickBot="1" x14ac:dyDescent="0.3">
      <c r="A27" s="178"/>
      <c r="B27" s="9" t="s">
        <v>25</v>
      </c>
      <c r="C27" s="10">
        <f t="shared" si="8"/>
        <v>200</v>
      </c>
      <c r="D27" s="10">
        <f>4*C27</f>
        <v>800</v>
      </c>
      <c r="E27" s="13">
        <f>0.5*F27</f>
        <v>3.1692028837745414</v>
      </c>
      <c r="F27" s="13">
        <f>(C27/(0.5*0.5*PI()))^(1/3)</f>
        <v>6.3384057675490828</v>
      </c>
      <c r="G27" s="29">
        <f t="shared" ref="G27" si="17">G$19</f>
        <v>3</v>
      </c>
      <c r="H27" s="54">
        <f>($C27*(1+3*$G27/$F27)/$G27)</f>
        <v>161.32769374572132</v>
      </c>
      <c r="I27" s="55">
        <f>($C27*(1.1+3*G27/F27)/$G27)</f>
        <v>167.994360412388</v>
      </c>
      <c r="J27" s="55">
        <f>($C26*(1+3*0.25+3*G27/F27)/$G27)</f>
        <v>211.32769374572129</v>
      </c>
      <c r="K27" s="55">
        <f>($C26*(1.1+3*0.1+3*G27/F27)/$G27)</f>
        <v>187.994360412388</v>
      </c>
      <c r="L27" s="56">
        <f>IF(($C27*(1+3*G27/F27)/($G27-$L$2))&lt;=0,"Niet mogelijk",($C27*(1+3*G27/F27)/($G27-$L$2)))</f>
        <v>175.99384772260507</v>
      </c>
      <c r="M27" s="55">
        <f>((0.25*$C27*4+3*$G$27/$F$27*$C27)/$G27)</f>
        <v>161.32769374572132</v>
      </c>
      <c r="N27" s="55">
        <f>((0.5*$C27*4+3*$G27/$F27*$C27)/$G27)</f>
        <v>227.994360412388</v>
      </c>
      <c r="O27" s="57">
        <f>(($C27*4+3*$G27/$F27*$C27)/$G27)</f>
        <v>361.32769374572132</v>
      </c>
    </row>
    <row r="28" spans="1:15" ht="30" customHeight="1" x14ac:dyDescent="0.25">
      <c r="A28" s="177" t="s">
        <v>1</v>
      </c>
      <c r="B28" s="4" t="s">
        <v>24</v>
      </c>
      <c r="C28" s="7">
        <f t="shared" si="8"/>
        <v>200</v>
      </c>
      <c r="D28" s="7">
        <f>(1+3*0.25)*C28</f>
        <v>350</v>
      </c>
      <c r="E28" s="19">
        <f>F28</f>
        <v>3.9929454246550797</v>
      </c>
      <c r="F28" s="19">
        <f>(C28/(1*1*PI()))^(1/3)</f>
        <v>3.9929454246550797</v>
      </c>
      <c r="G28" s="92">
        <f t="shared" ref="G28" si="18">G$18</f>
        <v>0.5</v>
      </c>
      <c r="H28" s="50">
        <f>($C28*(1+3*0.25*$G28/$F28)/$G28)</f>
        <v>437.56625349142035</v>
      </c>
      <c r="I28" s="51">
        <f>($C28*(1.1+3*0.25*G28/F28)/$G28)</f>
        <v>477.56625349142041</v>
      </c>
      <c r="J28" s="51">
        <f>($C27*(1+3*0.25*0.25+3*0.25*G28/F28)/$G28)</f>
        <v>512.56625349142041</v>
      </c>
      <c r="K28" s="51">
        <f>($C27*(1.1+3*0.25*0.1+3*0.25*G28/F28)/$G28)</f>
        <v>507.56625349142041</v>
      </c>
      <c r="L28" s="52">
        <f>IF(($C28*(1+3*0.25*G28/F28)/($G28-$L$2))&lt;=0,"Niet mogelijk",($C28*(1+3*0.25*G28/F28)/($G28-$L$2)))</f>
        <v>875.13250698284071</v>
      </c>
      <c r="M28" s="51">
        <f>((0.25*$C28*1.75+3*0.25*$G$28/$F$28*$C28)/$G28)</f>
        <v>212.56625349142041</v>
      </c>
      <c r="N28" s="51">
        <f>((0.5*$C28*1.75+3*0.25*$G28/$F28*$C28)/$G28)</f>
        <v>387.56625349142041</v>
      </c>
      <c r="O28" s="53">
        <f>(($C28*1.75+3*0.25*$G28/$F28*$C28)/$G28)</f>
        <v>737.56625349142041</v>
      </c>
    </row>
    <row r="29" spans="1:15" ht="15.75" thickBot="1" x14ac:dyDescent="0.3">
      <c r="A29" s="178"/>
      <c r="B29" s="9" t="s">
        <v>25</v>
      </c>
      <c r="C29" s="10">
        <f t="shared" si="8"/>
        <v>200</v>
      </c>
      <c r="D29" s="10">
        <f>(1+3*0.25)*C29</f>
        <v>350</v>
      </c>
      <c r="E29" s="13">
        <f>F29</f>
        <v>3.9929454246550797</v>
      </c>
      <c r="F29" s="13">
        <f>(C29/(1*1*PI()))^(1/3)</f>
        <v>3.9929454246550797</v>
      </c>
      <c r="G29" s="93">
        <f t="shared" ref="G29" si="19">G$19</f>
        <v>3</v>
      </c>
      <c r="H29" s="54">
        <f>($C29*(1+3*0.25*$G29/$F29)/$G29)</f>
        <v>104.23292015808708</v>
      </c>
      <c r="I29" s="55">
        <f>($C29*(1.1+3*0.25*G29/F29)/$G29)</f>
        <v>110.89958682475374</v>
      </c>
      <c r="J29" s="55">
        <f>($C28*(1+3*0.25*0.25+3*0.25*G29/F29)/$G29)</f>
        <v>116.73292015808708</v>
      </c>
      <c r="K29" s="55">
        <f>($C28*(1.1+3*0.25*0.1+3*0.25*G29/F29)/$G29)</f>
        <v>115.89958682475373</v>
      </c>
      <c r="L29" s="56">
        <f>IF(($C29*(1+3*0.25*G29/F29)/($G29-$L$2))&lt;=0,"Niet mogelijk",($C29*(1+3*0.25*G29/F29)/($G29-$L$2)))</f>
        <v>113.70864017245863</v>
      </c>
      <c r="M29" s="55">
        <f>((0.25*$C29*1.75+3*0.25*$G$29/$F$29*$C29)/$G29)</f>
        <v>66.732920158087055</v>
      </c>
      <c r="N29" s="55">
        <f>((0.5*$C29*1.75+3*0.25*$G29/$F29*$C29)/$G29)</f>
        <v>95.899586824753726</v>
      </c>
      <c r="O29" s="57">
        <f>(($C29*1.75+3*0.25*$G29/$F29*$C29)/$G29)</f>
        <v>154.23292015808707</v>
      </c>
    </row>
    <row r="31" spans="1:15" x14ac:dyDescent="0.25">
      <c r="H31" s="94"/>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8">
      <colorScale>
        <cfvo type="min"/>
        <cfvo type="max"/>
        <color theme="8" tint="0.79998168889431442"/>
        <color theme="8"/>
      </colorScale>
    </cfRule>
  </conditionalFormatting>
  <conditionalFormatting sqref="H6:O7">
    <cfRule type="colorScale" priority="17">
      <colorScale>
        <cfvo type="min"/>
        <cfvo type="max"/>
        <color theme="8" tint="0.79998168889431442"/>
        <color theme="8"/>
      </colorScale>
    </cfRule>
  </conditionalFormatting>
  <conditionalFormatting sqref="H8:O9">
    <cfRule type="colorScale" priority="16">
      <colorScale>
        <cfvo type="min"/>
        <cfvo type="max"/>
        <color theme="8" tint="0.79998168889431442"/>
        <color theme="8"/>
      </colorScale>
    </cfRule>
  </conditionalFormatting>
  <conditionalFormatting sqref="H10:O11">
    <cfRule type="colorScale" priority="15">
      <colorScale>
        <cfvo type="min"/>
        <cfvo type="max"/>
        <color theme="8" tint="0.79998168889431442"/>
        <color theme="8"/>
      </colorScale>
    </cfRule>
  </conditionalFormatting>
  <conditionalFormatting sqref="H12:O13">
    <cfRule type="colorScale" priority="14">
      <colorScale>
        <cfvo type="min"/>
        <cfvo type="max"/>
        <color theme="8" tint="0.79998168889431442"/>
        <color theme="8"/>
      </colorScale>
    </cfRule>
  </conditionalFormatting>
  <conditionalFormatting sqref="H14:O15">
    <cfRule type="colorScale" priority="13">
      <colorScale>
        <cfvo type="min"/>
        <cfvo type="max"/>
        <color theme="8" tint="0.79998168889431442"/>
        <color theme="8"/>
      </colorScale>
    </cfRule>
  </conditionalFormatting>
  <conditionalFormatting sqref="H18:O19">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4">
    <cfRule type="cellIs" dxfId="37" priority="6" operator="greaterThan">
      <formula>F4</formula>
    </cfRule>
  </conditionalFormatting>
  <conditionalFormatting sqref="G5">
    <cfRule type="cellIs" dxfId="36" priority="5" operator="greaterThan">
      <formula>F5</formula>
    </cfRule>
  </conditionalFormatting>
  <conditionalFormatting sqref="G6 G8 G10 G12 G14">
    <cfRule type="cellIs" dxfId="35" priority="4" operator="greaterThan">
      <formula>F6</formula>
    </cfRule>
  </conditionalFormatting>
  <conditionalFormatting sqref="G7 G9 G11 G13 G15">
    <cfRule type="cellIs" dxfId="34" priority="3" operator="greaterThan">
      <formula>F7</formula>
    </cfRule>
  </conditionalFormatting>
  <conditionalFormatting sqref="G18 G28 G20 G22 G24 G26">
    <cfRule type="cellIs" dxfId="33" priority="2" operator="greaterThan">
      <formula>F18</formula>
    </cfRule>
  </conditionalFormatting>
  <conditionalFormatting sqref="G19 G29 G21 G23 G25 G27">
    <cfRule type="cellIs" dxfId="32" priority="1" operator="greaterThan">
      <formula>F19</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A3FC2-4D65-478F-9F0D-376C5466DF54}">
  <sheetPr>
    <tabColor theme="6"/>
  </sheetPr>
  <dimension ref="A1:Q29"/>
  <sheetViews>
    <sheetView workbookViewId="0">
      <selection activeCell="L17" sqref="L17"/>
    </sheetView>
  </sheetViews>
  <sheetFormatPr defaultColWidth="8.85546875"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28515625" style="2" bestFit="1" customWidth="1"/>
    <col min="8" max="11" width="14.28515625" style="2" customWidth="1"/>
    <col min="12" max="12" width="15.5703125" style="2" customWidth="1"/>
    <col min="13" max="15" width="14.28515625" style="2" customWidth="1"/>
    <col min="16" max="16384" width="8.85546875" style="2"/>
  </cols>
  <sheetData>
    <row r="1" spans="1:15" ht="15.75" thickBot="1" x14ac:dyDescent="0.3">
      <c r="L1" s="150" t="s">
        <v>30</v>
      </c>
    </row>
    <row r="2" spans="1:15" ht="15.75" customHeight="1" thickBot="1" x14ac:dyDescent="0.3">
      <c r="A2" s="146" t="s">
        <v>46</v>
      </c>
      <c r="B2" s="155"/>
      <c r="C2" s="155"/>
      <c r="D2" s="155"/>
      <c r="E2" s="155"/>
      <c r="F2" s="155"/>
      <c r="G2" s="155"/>
      <c r="H2" s="155"/>
      <c r="I2" s="155"/>
      <c r="J2" s="155"/>
      <c r="K2" s="155"/>
      <c r="L2" s="148">
        <v>0.25</v>
      </c>
      <c r="M2" s="155"/>
      <c r="N2" s="155"/>
      <c r="O2" s="156"/>
    </row>
    <row r="3" spans="1:15" ht="60.75" thickBot="1" x14ac:dyDescent="0.3">
      <c r="A3" s="25" t="s">
        <v>16</v>
      </c>
      <c r="B3" s="26" t="s">
        <v>15</v>
      </c>
      <c r="C3" s="86" t="s">
        <v>56</v>
      </c>
      <c r="D3" s="86" t="s">
        <v>57</v>
      </c>
      <c r="E3" s="26" t="s">
        <v>14</v>
      </c>
      <c r="F3" s="26" t="s">
        <v>13</v>
      </c>
      <c r="G3" s="35" t="s">
        <v>12</v>
      </c>
      <c r="H3" s="151" t="s">
        <v>11</v>
      </c>
      <c r="I3" s="145" t="s">
        <v>10</v>
      </c>
      <c r="J3" s="145" t="s">
        <v>7</v>
      </c>
      <c r="K3" s="145" t="s">
        <v>58</v>
      </c>
      <c r="L3" s="152" t="s">
        <v>81</v>
      </c>
      <c r="M3" s="153" t="s">
        <v>9</v>
      </c>
      <c r="N3" s="145" t="s">
        <v>8</v>
      </c>
      <c r="O3" s="154" t="s">
        <v>22</v>
      </c>
    </row>
    <row r="4" spans="1:15" x14ac:dyDescent="0.25">
      <c r="A4" s="179" t="s">
        <v>6</v>
      </c>
      <c r="B4" s="4" t="s">
        <v>23</v>
      </c>
      <c r="C4" s="5">
        <v>200</v>
      </c>
      <c r="D4" s="7">
        <f>C4</f>
        <v>200</v>
      </c>
      <c r="E4" s="6">
        <f>2.5*F4</f>
        <v>5.4192607013928908</v>
      </c>
      <c r="F4" s="6">
        <f>(C4/(2.5*2.5*PI()))^(1/3)</f>
        <v>2.1677042805571562</v>
      </c>
      <c r="G4" s="28">
        <f>0.1*F4</f>
        <v>0.21677042805571564</v>
      </c>
      <c r="H4" s="30">
        <f t="shared" ref="H4:H15" si="0">C4</f>
        <v>200</v>
      </c>
      <c r="I4" s="7">
        <f>C4*1.1</f>
        <v>220.00000000000003</v>
      </c>
      <c r="J4" s="7">
        <f>C4</f>
        <v>200</v>
      </c>
      <c r="K4" s="7">
        <f>C4*1.1</f>
        <v>220.00000000000003</v>
      </c>
      <c r="L4" s="43" t="str">
        <f t="shared" ref="L4:L15" si="1">IF(C4+$L$2*C4/(G4-$L$2)&lt;0,"Niet mogelijk",C4+$L$2*C4/(G4-$L$2))</f>
        <v>Niet mogelijk</v>
      </c>
      <c r="M4" s="7"/>
      <c r="N4" s="7"/>
      <c r="O4" s="8">
        <f>H4</f>
        <v>200</v>
      </c>
    </row>
    <row r="5" spans="1:15" ht="15.75" thickBot="1" x14ac:dyDescent="0.3">
      <c r="A5" s="180"/>
      <c r="B5" s="15" t="s">
        <v>0</v>
      </c>
      <c r="C5" s="16">
        <f t="shared" ref="C5:C15" si="2">C4</f>
        <v>200</v>
      </c>
      <c r="D5" s="16">
        <f t="shared" ref="D5:D7" si="3">C5</f>
        <v>200</v>
      </c>
      <c r="E5" s="17">
        <f>2.5*F5</f>
        <v>5.4192607013928908</v>
      </c>
      <c r="F5" s="17">
        <f>(C5/(2.5*2.5*PI()))^(1/3)</f>
        <v>2.1677042805571562</v>
      </c>
      <c r="G5" s="29">
        <f>0.4*F5</f>
        <v>0.86708171222286257</v>
      </c>
      <c r="H5" s="31">
        <f t="shared" si="0"/>
        <v>200</v>
      </c>
      <c r="I5" s="16">
        <f t="shared" ref="I5:I15" si="4">C5*1.1</f>
        <v>220.00000000000003</v>
      </c>
      <c r="J5" s="16">
        <f t="shared" ref="J5:J7" si="5">C5</f>
        <v>200</v>
      </c>
      <c r="K5" s="16">
        <f t="shared" ref="K5:K7" si="6">C5*1.1</f>
        <v>220.00000000000003</v>
      </c>
      <c r="L5" s="44">
        <f t="shared" si="1"/>
        <v>281.02654641941848</v>
      </c>
      <c r="M5" s="16"/>
      <c r="N5" s="16"/>
      <c r="O5" s="18">
        <f t="shared" ref="O5:O7" si="7">H5</f>
        <v>200</v>
      </c>
    </row>
    <row r="6" spans="1:15" x14ac:dyDescent="0.25">
      <c r="A6" s="181" t="s">
        <v>5</v>
      </c>
      <c r="B6" s="4" t="s">
        <v>23</v>
      </c>
      <c r="C6" s="7">
        <f t="shared" si="2"/>
        <v>200</v>
      </c>
      <c r="D6" s="7">
        <f t="shared" si="3"/>
        <v>200</v>
      </c>
      <c r="E6" s="6">
        <f>0.25*F6</f>
        <v>2.5153979958021795</v>
      </c>
      <c r="F6" s="6">
        <f>(C6/(0.25*0.25*PI()))^(1/3)</f>
        <v>10.061591983208718</v>
      </c>
      <c r="G6" s="28">
        <f>0.1*F6</f>
        <v>1.0061591983208718</v>
      </c>
      <c r="H6" s="30">
        <f t="shared" si="0"/>
        <v>200</v>
      </c>
      <c r="I6" s="7">
        <f t="shared" si="4"/>
        <v>220.00000000000003</v>
      </c>
      <c r="J6" s="7">
        <f t="shared" si="5"/>
        <v>200</v>
      </c>
      <c r="K6" s="7">
        <f t="shared" si="6"/>
        <v>220.00000000000003</v>
      </c>
      <c r="L6" s="43">
        <f t="shared" si="1"/>
        <v>266.1236418349867</v>
      </c>
      <c r="M6" s="7"/>
      <c r="N6" s="7"/>
      <c r="O6" s="8">
        <f t="shared" si="7"/>
        <v>200</v>
      </c>
    </row>
    <row r="7" spans="1:15" ht="15.75" thickBot="1" x14ac:dyDescent="0.3">
      <c r="A7" s="182"/>
      <c r="B7" s="9" t="s">
        <v>0</v>
      </c>
      <c r="C7" s="10">
        <f t="shared" si="2"/>
        <v>200</v>
      </c>
      <c r="D7" s="10">
        <f t="shared" si="3"/>
        <v>200</v>
      </c>
      <c r="E7" s="11">
        <f>0.25*F7</f>
        <v>2.5153979958021795</v>
      </c>
      <c r="F7" s="11">
        <f>(C7/(0.25*0.25*PI()))^(1/3)</f>
        <v>10.061591983208718</v>
      </c>
      <c r="G7" s="29">
        <f>0.4*F7</f>
        <v>4.024636793283487</v>
      </c>
      <c r="H7" s="32">
        <f t="shared" si="0"/>
        <v>200</v>
      </c>
      <c r="I7" s="10">
        <f t="shared" si="4"/>
        <v>220.00000000000003</v>
      </c>
      <c r="J7" s="10">
        <f t="shared" si="5"/>
        <v>200</v>
      </c>
      <c r="K7" s="10">
        <f t="shared" si="6"/>
        <v>220.00000000000003</v>
      </c>
      <c r="L7" s="45">
        <f t="shared" si="1"/>
        <v>213.24630758884379</v>
      </c>
      <c r="M7" s="10"/>
      <c r="N7" s="10"/>
      <c r="O7" s="12">
        <f t="shared" si="7"/>
        <v>200</v>
      </c>
    </row>
    <row r="8" spans="1:15" s="3" customFormat="1" x14ac:dyDescent="0.25">
      <c r="A8" s="177" t="s">
        <v>4</v>
      </c>
      <c r="B8" s="4" t="s">
        <v>23</v>
      </c>
      <c r="C8" s="7">
        <f t="shared" si="2"/>
        <v>200</v>
      </c>
      <c r="D8" s="7">
        <f>2*C8</f>
        <v>400</v>
      </c>
      <c r="E8" s="19">
        <f>F8</f>
        <v>3.9929454246550797</v>
      </c>
      <c r="F8" s="19">
        <f>(C8/(1*1*PI()))^(1/3)</f>
        <v>3.9929454246550797</v>
      </c>
      <c r="G8" s="28">
        <f>0.1*F8</f>
        <v>0.399294542465508</v>
      </c>
      <c r="H8" s="30">
        <f t="shared" si="0"/>
        <v>200</v>
      </c>
      <c r="I8" s="7">
        <f t="shared" si="4"/>
        <v>220.00000000000003</v>
      </c>
      <c r="J8" s="7">
        <f>($C8*1.25)</f>
        <v>250</v>
      </c>
      <c r="K8" s="7">
        <f>($C8*1.2)</f>
        <v>240</v>
      </c>
      <c r="L8" s="43">
        <f t="shared" si="1"/>
        <v>534.90842447607656</v>
      </c>
      <c r="M8" s="7">
        <f>((0.25*C8*2))</f>
        <v>100</v>
      </c>
      <c r="N8" s="7">
        <f>((0.5*C8*2))</f>
        <v>200</v>
      </c>
      <c r="O8" s="8">
        <f>((C8*2))</f>
        <v>400</v>
      </c>
    </row>
    <row r="9" spans="1:15" s="3" customFormat="1" ht="15.75" thickBot="1" x14ac:dyDescent="0.3">
      <c r="A9" s="178"/>
      <c r="B9" s="20" t="s">
        <v>0</v>
      </c>
      <c r="C9" s="10">
        <f t="shared" si="2"/>
        <v>200</v>
      </c>
      <c r="D9" s="10">
        <f>2*C9</f>
        <v>400</v>
      </c>
      <c r="E9" s="13">
        <f>F9</f>
        <v>3.9929454246550797</v>
      </c>
      <c r="F9" s="13">
        <f>(C9/(1*1*PI()))^(1/3)</f>
        <v>3.9929454246550797</v>
      </c>
      <c r="G9" s="29">
        <f>0.4*F9</f>
        <v>1.597178169862032</v>
      </c>
      <c r="H9" s="32">
        <f t="shared" si="0"/>
        <v>200</v>
      </c>
      <c r="I9" s="10">
        <f t="shared" si="4"/>
        <v>220.00000000000003</v>
      </c>
      <c r="J9" s="10">
        <f>($C9*1.25)</f>
        <v>250</v>
      </c>
      <c r="K9" s="10">
        <f t="shared" ref="K9:K11" si="8">($C9*1.2)</f>
        <v>240</v>
      </c>
      <c r="L9" s="45">
        <f t="shared" si="1"/>
        <v>237.11461566002114</v>
      </c>
      <c r="M9" s="10">
        <f t="shared" ref="M9:M11" si="9">((0.25*C9*2))</f>
        <v>100</v>
      </c>
      <c r="N9" s="10">
        <f t="shared" ref="N9:N11" si="10">((0.5*C9*2))</f>
        <v>200</v>
      </c>
      <c r="O9" s="12">
        <f t="shared" ref="O9:O11" si="11">((C9*2))</f>
        <v>400</v>
      </c>
    </row>
    <row r="10" spans="1:15" s="3" customFormat="1" x14ac:dyDescent="0.25">
      <c r="A10" s="177" t="s">
        <v>3</v>
      </c>
      <c r="B10" s="4" t="s">
        <v>23</v>
      </c>
      <c r="C10" s="7">
        <f t="shared" si="2"/>
        <v>200</v>
      </c>
      <c r="D10" s="7">
        <f>2*C10</f>
        <v>400</v>
      </c>
      <c r="E10" s="19">
        <f>0.5*F10</f>
        <v>3.1692028837745414</v>
      </c>
      <c r="F10" s="19">
        <f>(C10/(0.5*0.5*PI()))^(1/3)</f>
        <v>6.3384057675490828</v>
      </c>
      <c r="G10" s="28">
        <f>0.1*F10</f>
        <v>0.63384057675490835</v>
      </c>
      <c r="H10" s="33">
        <f t="shared" si="0"/>
        <v>200</v>
      </c>
      <c r="I10" s="21">
        <f t="shared" si="4"/>
        <v>220.00000000000003</v>
      </c>
      <c r="J10" s="21">
        <f>($C10*1.25)</f>
        <v>250</v>
      </c>
      <c r="K10" s="21">
        <f t="shared" si="8"/>
        <v>240</v>
      </c>
      <c r="L10" s="46">
        <f t="shared" si="1"/>
        <v>330.2624136893329</v>
      </c>
      <c r="M10" s="21">
        <f t="shared" si="9"/>
        <v>100</v>
      </c>
      <c r="N10" s="21">
        <f t="shared" si="10"/>
        <v>200</v>
      </c>
      <c r="O10" s="22">
        <f t="shared" si="11"/>
        <v>400</v>
      </c>
    </row>
    <row r="11" spans="1:15" s="3" customFormat="1" ht="15.75" thickBot="1" x14ac:dyDescent="0.3">
      <c r="A11" s="178"/>
      <c r="B11" s="20" t="s">
        <v>0</v>
      </c>
      <c r="C11" s="10">
        <f t="shared" si="2"/>
        <v>200</v>
      </c>
      <c r="D11" s="10">
        <f>2*C11</f>
        <v>400</v>
      </c>
      <c r="E11" s="13">
        <f>0.5*F11</f>
        <v>3.1692028837745414</v>
      </c>
      <c r="F11" s="13">
        <f>(C11/(0.5*0.5*PI()))^(1/3)</f>
        <v>6.3384057675490828</v>
      </c>
      <c r="G11" s="29">
        <f>0.4*F11</f>
        <v>2.5353623070196334</v>
      </c>
      <c r="H11" s="34">
        <f t="shared" si="0"/>
        <v>200</v>
      </c>
      <c r="I11" s="23">
        <f t="shared" si="4"/>
        <v>220.00000000000003</v>
      </c>
      <c r="J11" s="23">
        <f>($C11*1.25)</f>
        <v>250</v>
      </c>
      <c r="K11" s="23">
        <f t="shared" si="8"/>
        <v>240</v>
      </c>
      <c r="L11" s="47">
        <f t="shared" si="1"/>
        <v>221.87836906490577</v>
      </c>
      <c r="M11" s="23">
        <f t="shared" si="9"/>
        <v>100</v>
      </c>
      <c r="N11" s="23">
        <f t="shared" si="10"/>
        <v>200</v>
      </c>
      <c r="O11" s="24">
        <f t="shared" si="11"/>
        <v>400</v>
      </c>
    </row>
    <row r="12" spans="1:15" s="3" customFormat="1" x14ac:dyDescent="0.25">
      <c r="A12" s="177" t="s">
        <v>2</v>
      </c>
      <c r="B12" s="4" t="s">
        <v>23</v>
      </c>
      <c r="C12" s="7">
        <f t="shared" si="2"/>
        <v>200</v>
      </c>
      <c r="D12" s="7">
        <f>4*C12</f>
        <v>800</v>
      </c>
      <c r="E12" s="19">
        <f>0.5*F12</f>
        <v>3.1692028837745414</v>
      </c>
      <c r="F12" s="19">
        <f>(C12/(0.5*0.5*PI()))^(1/3)</f>
        <v>6.3384057675490828</v>
      </c>
      <c r="G12" s="28">
        <f>0.1*F12</f>
        <v>0.63384057675490835</v>
      </c>
      <c r="H12" s="33">
        <f t="shared" si="0"/>
        <v>200</v>
      </c>
      <c r="I12" s="21">
        <f t="shared" si="4"/>
        <v>220.00000000000003</v>
      </c>
      <c r="J12" s="21">
        <f>($C12*1.75)</f>
        <v>350</v>
      </c>
      <c r="K12" s="21">
        <f t="shared" ref="K12:K13" si="12">$C12*(1.1+3*0.1)</f>
        <v>280</v>
      </c>
      <c r="L12" s="46">
        <f t="shared" si="1"/>
        <v>330.2624136893329</v>
      </c>
      <c r="M12" s="21">
        <f>((0.25*C12*4))</f>
        <v>200</v>
      </c>
      <c r="N12" s="21">
        <f>((0.5*C12*4))</f>
        <v>400</v>
      </c>
      <c r="O12" s="22">
        <f>((C12*4))</f>
        <v>800</v>
      </c>
    </row>
    <row r="13" spans="1:15" s="3" customFormat="1" ht="15.75" thickBot="1" x14ac:dyDescent="0.3">
      <c r="A13" s="178"/>
      <c r="B13" s="20" t="s">
        <v>0</v>
      </c>
      <c r="C13" s="10">
        <f t="shared" si="2"/>
        <v>200</v>
      </c>
      <c r="D13" s="10">
        <f>4*C13</f>
        <v>800</v>
      </c>
      <c r="E13" s="13">
        <f>0.5*F13</f>
        <v>3.1692028837745414</v>
      </c>
      <c r="F13" s="13">
        <f>(C13/(0.5*0.5*PI()))^(1/3)</f>
        <v>6.3384057675490828</v>
      </c>
      <c r="G13" s="29">
        <f>0.4*F13</f>
        <v>2.5353623070196334</v>
      </c>
      <c r="H13" s="34">
        <f t="shared" si="0"/>
        <v>200</v>
      </c>
      <c r="I13" s="23">
        <f t="shared" si="4"/>
        <v>220.00000000000003</v>
      </c>
      <c r="J13" s="23">
        <f>($C13*1.75)</f>
        <v>350</v>
      </c>
      <c r="K13" s="23">
        <f t="shared" si="12"/>
        <v>280</v>
      </c>
      <c r="L13" s="47">
        <f t="shared" si="1"/>
        <v>221.87836906490577</v>
      </c>
      <c r="M13" s="23">
        <f>((0.25*C13*4))</f>
        <v>200</v>
      </c>
      <c r="N13" s="23">
        <f>((0.5*C13*4))</f>
        <v>400</v>
      </c>
      <c r="O13" s="24">
        <f>((C13*4))</f>
        <v>800</v>
      </c>
    </row>
    <row r="14" spans="1:15" s="3" customFormat="1" ht="30" customHeight="1" x14ac:dyDescent="0.25">
      <c r="A14" s="177" t="s">
        <v>1</v>
      </c>
      <c r="B14" s="4" t="s">
        <v>23</v>
      </c>
      <c r="C14" s="7">
        <f t="shared" si="2"/>
        <v>200</v>
      </c>
      <c r="D14" s="7">
        <f>(1+3*0.25)*C14</f>
        <v>350</v>
      </c>
      <c r="E14" s="19">
        <f>F14</f>
        <v>3.9929454246550797</v>
      </c>
      <c r="F14" s="19">
        <f>(C14/(1*1*PI()))^(1/3)</f>
        <v>3.9929454246550797</v>
      </c>
      <c r="G14" s="28">
        <f>0.1*F14</f>
        <v>0.399294542465508</v>
      </c>
      <c r="H14" s="33">
        <f t="shared" si="0"/>
        <v>200</v>
      </c>
      <c r="I14" s="21">
        <f t="shared" si="4"/>
        <v>220.00000000000003</v>
      </c>
      <c r="J14" s="21">
        <f>($C14*(1+3*0.25*0.25))</f>
        <v>237.5</v>
      </c>
      <c r="K14" s="21">
        <f t="shared" ref="K14:K15" si="13">($C14*(1.1+3*0.25*0.1))</f>
        <v>235</v>
      </c>
      <c r="L14" s="46">
        <f t="shared" si="1"/>
        <v>534.90842447607656</v>
      </c>
      <c r="M14" s="21">
        <f>((0.25*C14*1.75))</f>
        <v>87.5</v>
      </c>
      <c r="N14" s="21">
        <f>((0.5*C14*1.75))</f>
        <v>175</v>
      </c>
      <c r="O14" s="22">
        <f>((C14*1.75))</f>
        <v>350</v>
      </c>
    </row>
    <row r="15" spans="1:15" s="3" customFormat="1" ht="15.75" thickBot="1" x14ac:dyDescent="0.3">
      <c r="A15" s="178"/>
      <c r="B15" s="20" t="s">
        <v>0</v>
      </c>
      <c r="C15" s="10">
        <f t="shared" si="2"/>
        <v>200</v>
      </c>
      <c r="D15" s="10">
        <f>(1+3*0.25)*C15</f>
        <v>350</v>
      </c>
      <c r="E15" s="13">
        <f>F15</f>
        <v>3.9929454246550797</v>
      </c>
      <c r="F15" s="13">
        <f>(C15/(1*1*PI()))^(1/3)</f>
        <v>3.9929454246550797</v>
      </c>
      <c r="G15" s="29">
        <f>0.4*F15</f>
        <v>1.597178169862032</v>
      </c>
      <c r="H15" s="34">
        <f t="shared" si="0"/>
        <v>200</v>
      </c>
      <c r="I15" s="23">
        <f t="shared" si="4"/>
        <v>220.00000000000003</v>
      </c>
      <c r="J15" s="23">
        <f>($C15*(1+3*0.25*0.25))</f>
        <v>237.5</v>
      </c>
      <c r="K15" s="23">
        <f t="shared" si="13"/>
        <v>235</v>
      </c>
      <c r="L15" s="47">
        <f t="shared" si="1"/>
        <v>237.11461566002114</v>
      </c>
      <c r="M15" s="23">
        <f>((0.25*C15*1.75))</f>
        <v>87.5</v>
      </c>
      <c r="N15" s="23">
        <f>((0.5*C15*1.75))</f>
        <v>175</v>
      </c>
      <c r="O15" s="24">
        <f>((C15*1.75))</f>
        <v>350</v>
      </c>
    </row>
    <row r="16" spans="1:15" s="3" customFormat="1" ht="15.75" thickBot="1" x14ac:dyDescent="0.3">
      <c r="A16" s="185" t="s">
        <v>47</v>
      </c>
      <c r="B16" s="186"/>
      <c r="C16" s="186"/>
      <c r="D16" s="186"/>
      <c r="E16" s="186"/>
      <c r="F16" s="186"/>
      <c r="G16" s="186"/>
      <c r="H16" s="186"/>
      <c r="I16" s="186"/>
      <c r="J16" s="186"/>
      <c r="K16" s="186"/>
      <c r="L16" s="186"/>
      <c r="M16" s="186"/>
      <c r="N16" s="186"/>
      <c r="O16" s="187"/>
    </row>
    <row r="17" spans="1:17" s="3" customFormat="1" ht="60.75" thickBot="1" x14ac:dyDescent="0.3">
      <c r="A17" s="41" t="s">
        <v>16</v>
      </c>
      <c r="B17" s="42" t="s">
        <v>15</v>
      </c>
      <c r="C17" s="68" t="s">
        <v>56</v>
      </c>
      <c r="D17" s="68" t="s">
        <v>57</v>
      </c>
      <c r="E17" s="42" t="s">
        <v>14</v>
      </c>
      <c r="F17" s="42" t="s">
        <v>13</v>
      </c>
      <c r="G17" s="69" t="s">
        <v>12</v>
      </c>
      <c r="H17" s="37" t="s">
        <v>11</v>
      </c>
      <c r="I17" s="38" t="s">
        <v>10</v>
      </c>
      <c r="J17" s="38" t="s">
        <v>7</v>
      </c>
      <c r="K17" s="68" t="s">
        <v>58</v>
      </c>
      <c r="L17" s="152" t="s">
        <v>81</v>
      </c>
      <c r="M17" s="39" t="s">
        <v>9</v>
      </c>
      <c r="N17" s="38" t="s">
        <v>8</v>
      </c>
      <c r="O17" s="40" t="s">
        <v>22</v>
      </c>
    </row>
    <row r="18" spans="1:17" x14ac:dyDescent="0.25">
      <c r="A18" s="188" t="s">
        <v>6</v>
      </c>
      <c r="B18" s="87" t="s">
        <v>24</v>
      </c>
      <c r="C18" s="88">
        <f>C4</f>
        <v>200</v>
      </c>
      <c r="D18" s="88">
        <f>C18</f>
        <v>200</v>
      </c>
      <c r="E18" s="89">
        <f>2.5*F18</f>
        <v>5.4192607013928908</v>
      </c>
      <c r="F18" s="89">
        <f>(C18/(2.5*2.5*PI()))^(1/3)</f>
        <v>2.1677042805571562</v>
      </c>
      <c r="G18" s="90">
        <v>0.5</v>
      </c>
      <c r="H18" s="30">
        <f>C18</f>
        <v>200</v>
      </c>
      <c r="I18" s="27">
        <f>C18*1.1</f>
        <v>220.00000000000003</v>
      </c>
      <c r="J18" s="27">
        <f>H18</f>
        <v>200</v>
      </c>
      <c r="K18" s="27">
        <f t="shared" ref="K18:K21" si="14">C18*1.1</f>
        <v>220.00000000000003</v>
      </c>
      <c r="L18" s="48">
        <f t="shared" ref="L18:L29" si="15">IF(C18+$L$2*C18/(G18-$L$2)&lt;0,"Niet mogelijk",C18+$L$2*C18/(G18-$L$2))</f>
        <v>400</v>
      </c>
      <c r="M18" s="27"/>
      <c r="N18" s="27"/>
      <c r="O18" s="8">
        <f>C18</f>
        <v>200</v>
      </c>
    </row>
    <row r="19" spans="1:17" ht="15.75" thickBot="1" x14ac:dyDescent="0.3">
      <c r="A19" s="182"/>
      <c r="B19" s="9" t="s">
        <v>25</v>
      </c>
      <c r="C19" s="10">
        <f t="shared" ref="C19:C29" si="16">C18</f>
        <v>200</v>
      </c>
      <c r="D19" s="10">
        <f t="shared" ref="D19:D21" si="17">C19</f>
        <v>200</v>
      </c>
      <c r="E19" s="11">
        <f>2.5*F19</f>
        <v>5.4192607013928908</v>
      </c>
      <c r="F19" s="11">
        <f>(C19/(2.5*2.5*PI()))^(1/3)</f>
        <v>2.1677042805571562</v>
      </c>
      <c r="G19" s="91">
        <v>3</v>
      </c>
      <c r="H19" s="32">
        <f>C19</f>
        <v>200</v>
      </c>
      <c r="I19" s="14">
        <f>C19*1.1</f>
        <v>220.00000000000003</v>
      </c>
      <c r="J19" s="14">
        <f t="shared" ref="J19:J21" si="18">H19</f>
        <v>200</v>
      </c>
      <c r="K19" s="14">
        <f t="shared" si="14"/>
        <v>220.00000000000003</v>
      </c>
      <c r="L19" s="49">
        <f t="shared" si="15"/>
        <v>218.18181818181819</v>
      </c>
      <c r="M19" s="14"/>
      <c r="N19" s="14"/>
      <c r="O19" s="12">
        <f t="shared" ref="O19:O21" si="19">C19</f>
        <v>200</v>
      </c>
    </row>
    <row r="20" spans="1:17" x14ac:dyDescent="0.25">
      <c r="A20" s="181" t="s">
        <v>5</v>
      </c>
      <c r="B20" s="4" t="s">
        <v>24</v>
      </c>
      <c r="C20" s="7">
        <f t="shared" si="16"/>
        <v>200</v>
      </c>
      <c r="D20" s="7">
        <f t="shared" si="17"/>
        <v>200</v>
      </c>
      <c r="E20" s="6">
        <f>0.25*F20</f>
        <v>2.5153979958021795</v>
      </c>
      <c r="F20" s="6">
        <f>(C20/(0.25*0.25*PI()))^(1/3)</f>
        <v>10.061591983208718</v>
      </c>
      <c r="G20" s="28">
        <f>G$18</f>
        <v>0.5</v>
      </c>
      <c r="H20" s="30">
        <f>C20</f>
        <v>200</v>
      </c>
      <c r="I20" s="27">
        <f>C20*1.1</f>
        <v>220.00000000000003</v>
      </c>
      <c r="J20" s="27">
        <f t="shared" si="18"/>
        <v>200</v>
      </c>
      <c r="K20" s="27">
        <f t="shared" si="14"/>
        <v>220.00000000000003</v>
      </c>
      <c r="L20" s="48">
        <f t="shared" si="15"/>
        <v>400</v>
      </c>
      <c r="M20" s="27"/>
      <c r="N20" s="27"/>
      <c r="O20" s="8">
        <f t="shared" si="19"/>
        <v>200</v>
      </c>
    </row>
    <row r="21" spans="1:17" ht="15.75" thickBot="1" x14ac:dyDescent="0.3">
      <c r="A21" s="182"/>
      <c r="B21" s="9" t="s">
        <v>25</v>
      </c>
      <c r="C21" s="10">
        <f t="shared" si="16"/>
        <v>200</v>
      </c>
      <c r="D21" s="10">
        <f t="shared" si="17"/>
        <v>200</v>
      </c>
      <c r="E21" s="11">
        <f>0.25*F21</f>
        <v>2.5153979958021795</v>
      </c>
      <c r="F21" s="11">
        <f>(C21/(0.25*0.25*PI()))^(1/3)</f>
        <v>10.061591983208718</v>
      </c>
      <c r="G21" s="29">
        <f>G$19</f>
        <v>3</v>
      </c>
      <c r="H21" s="32">
        <f>C21</f>
        <v>200</v>
      </c>
      <c r="I21" s="14">
        <f>C21*1.1</f>
        <v>220.00000000000003</v>
      </c>
      <c r="J21" s="14">
        <f t="shared" si="18"/>
        <v>200</v>
      </c>
      <c r="K21" s="14">
        <f t="shared" si="14"/>
        <v>220.00000000000003</v>
      </c>
      <c r="L21" s="49">
        <f t="shared" si="15"/>
        <v>218.18181818181819</v>
      </c>
      <c r="M21" s="14"/>
      <c r="N21" s="14"/>
      <c r="O21" s="12">
        <f t="shared" si="19"/>
        <v>200</v>
      </c>
    </row>
    <row r="22" spans="1:17" x14ac:dyDescent="0.25">
      <c r="A22" s="183" t="s">
        <v>4</v>
      </c>
      <c r="B22" s="4" t="s">
        <v>24</v>
      </c>
      <c r="C22" s="7">
        <f t="shared" si="16"/>
        <v>200</v>
      </c>
      <c r="D22" s="7">
        <f>2*C22</f>
        <v>400</v>
      </c>
      <c r="E22" s="19">
        <f>F22</f>
        <v>3.9929454246550797</v>
      </c>
      <c r="F22" s="19">
        <f>(C22/(1*1*PI()))^(1/3)</f>
        <v>3.9929454246550797</v>
      </c>
      <c r="G22" s="28">
        <f t="shared" ref="G22" si="20">G$18</f>
        <v>0.5</v>
      </c>
      <c r="H22" s="30">
        <f t="shared" ref="H22:H29" si="21">C22</f>
        <v>200</v>
      </c>
      <c r="I22" s="27">
        <f t="shared" ref="I22:I29" si="22">C22*1.1</f>
        <v>220.00000000000003</v>
      </c>
      <c r="J22" s="27">
        <f>($C22*1.25)</f>
        <v>250</v>
      </c>
      <c r="K22" s="27">
        <f t="shared" ref="K22:K25" si="23">($C22*1.2)</f>
        <v>240</v>
      </c>
      <c r="L22" s="48">
        <f t="shared" si="15"/>
        <v>400</v>
      </c>
      <c r="M22" s="27">
        <f t="shared" ref="M22:M25" si="24">((0.25*C22*2))</f>
        <v>100</v>
      </c>
      <c r="N22" s="27">
        <f t="shared" ref="N22:N25" si="25">((0.5*C22*2))</f>
        <v>200</v>
      </c>
      <c r="O22" s="8">
        <f t="shared" ref="O22:O25" si="26">((C22*2))</f>
        <v>400</v>
      </c>
    </row>
    <row r="23" spans="1:17" ht="15.75" thickBot="1" x14ac:dyDescent="0.3">
      <c r="A23" s="184"/>
      <c r="B23" s="9" t="s">
        <v>25</v>
      </c>
      <c r="C23" s="10">
        <f t="shared" si="16"/>
        <v>200</v>
      </c>
      <c r="D23" s="10">
        <f>2*C23</f>
        <v>400</v>
      </c>
      <c r="E23" s="13">
        <f>F23</f>
        <v>3.9929454246550797</v>
      </c>
      <c r="F23" s="13">
        <f>(C23/(1*1*PI()))^(1/3)</f>
        <v>3.9929454246550797</v>
      </c>
      <c r="G23" s="29">
        <f t="shared" ref="G23" si="27">G$19</f>
        <v>3</v>
      </c>
      <c r="H23" s="32">
        <f t="shared" si="21"/>
        <v>200</v>
      </c>
      <c r="I23" s="14">
        <f t="shared" si="22"/>
        <v>220.00000000000003</v>
      </c>
      <c r="J23" s="14">
        <f>($C23*1.25)</f>
        <v>250</v>
      </c>
      <c r="K23" s="14">
        <f t="shared" si="23"/>
        <v>240</v>
      </c>
      <c r="L23" s="49">
        <f t="shared" si="15"/>
        <v>218.18181818181819</v>
      </c>
      <c r="M23" s="14">
        <f t="shared" si="24"/>
        <v>100</v>
      </c>
      <c r="N23" s="14">
        <f t="shared" si="25"/>
        <v>200</v>
      </c>
      <c r="O23" s="12">
        <f t="shared" si="26"/>
        <v>400</v>
      </c>
      <c r="P23" s="95"/>
      <c r="Q23" s="95"/>
    </row>
    <row r="24" spans="1:17" x14ac:dyDescent="0.25">
      <c r="A24" s="183" t="s">
        <v>3</v>
      </c>
      <c r="B24" s="4" t="s">
        <v>24</v>
      </c>
      <c r="C24" s="7">
        <f t="shared" si="16"/>
        <v>200</v>
      </c>
      <c r="D24" s="7">
        <f>2*C24</f>
        <v>400</v>
      </c>
      <c r="E24" s="19">
        <f>0.5*F24</f>
        <v>3.1692028837745414</v>
      </c>
      <c r="F24" s="19">
        <f>(C24/(0.5*0.5*PI()))^(1/3)</f>
        <v>6.3384057675490828</v>
      </c>
      <c r="G24" s="28">
        <f t="shared" ref="G24" si="28">G$18</f>
        <v>0.5</v>
      </c>
      <c r="H24" s="30">
        <f t="shared" si="21"/>
        <v>200</v>
      </c>
      <c r="I24" s="27">
        <f t="shared" si="22"/>
        <v>220.00000000000003</v>
      </c>
      <c r="J24" s="27">
        <f>($C24*1.25)</f>
        <v>250</v>
      </c>
      <c r="K24" s="27">
        <f t="shared" si="23"/>
        <v>240</v>
      </c>
      <c r="L24" s="48">
        <f t="shared" si="15"/>
        <v>400</v>
      </c>
      <c r="M24" s="27">
        <f t="shared" si="24"/>
        <v>100</v>
      </c>
      <c r="N24" s="27">
        <f t="shared" si="25"/>
        <v>200</v>
      </c>
      <c r="O24" s="8">
        <f t="shared" si="26"/>
        <v>400</v>
      </c>
    </row>
    <row r="25" spans="1:17" ht="15.75" thickBot="1" x14ac:dyDescent="0.3">
      <c r="A25" s="184"/>
      <c r="B25" s="9" t="s">
        <v>25</v>
      </c>
      <c r="C25" s="10">
        <f t="shared" si="16"/>
        <v>200</v>
      </c>
      <c r="D25" s="10">
        <f>2*C25</f>
        <v>400</v>
      </c>
      <c r="E25" s="13">
        <f>0.5*F25</f>
        <v>3.1692028837745414</v>
      </c>
      <c r="F25" s="13">
        <f>(C25/(0.5*0.5*PI()))^(1/3)</f>
        <v>6.3384057675490828</v>
      </c>
      <c r="G25" s="29">
        <f t="shared" ref="G25" si="29">G$19</f>
        <v>3</v>
      </c>
      <c r="H25" s="32">
        <f t="shared" si="21"/>
        <v>200</v>
      </c>
      <c r="I25" s="14">
        <f t="shared" si="22"/>
        <v>220.00000000000003</v>
      </c>
      <c r="J25" s="14">
        <f>($C25*1.25)</f>
        <v>250</v>
      </c>
      <c r="K25" s="14">
        <f t="shared" si="23"/>
        <v>240</v>
      </c>
      <c r="L25" s="49">
        <f t="shared" si="15"/>
        <v>218.18181818181819</v>
      </c>
      <c r="M25" s="14">
        <f t="shared" si="24"/>
        <v>100</v>
      </c>
      <c r="N25" s="14">
        <f t="shared" si="25"/>
        <v>200</v>
      </c>
      <c r="O25" s="12">
        <f t="shared" si="26"/>
        <v>400</v>
      </c>
    </row>
    <row r="26" spans="1:17" x14ac:dyDescent="0.25">
      <c r="A26" s="183" t="s">
        <v>2</v>
      </c>
      <c r="B26" s="4" t="s">
        <v>24</v>
      </c>
      <c r="C26" s="7">
        <f t="shared" si="16"/>
        <v>200</v>
      </c>
      <c r="D26" s="7">
        <f>4*C26</f>
        <v>800</v>
      </c>
      <c r="E26" s="19">
        <f>0.5*F26</f>
        <v>3.1692028837745414</v>
      </c>
      <c r="F26" s="19">
        <f>(C26/(0.5*0.5*PI()))^(1/3)</f>
        <v>6.3384057675490828</v>
      </c>
      <c r="G26" s="28">
        <f t="shared" ref="G26" si="30">G$18</f>
        <v>0.5</v>
      </c>
      <c r="H26" s="30">
        <f t="shared" si="21"/>
        <v>200</v>
      </c>
      <c r="I26" s="27">
        <f t="shared" si="22"/>
        <v>220.00000000000003</v>
      </c>
      <c r="J26" s="27">
        <f>($C26*1.75)</f>
        <v>350</v>
      </c>
      <c r="K26" s="27">
        <f>$C26*(1.1+3*0.1)</f>
        <v>280</v>
      </c>
      <c r="L26" s="48">
        <f t="shared" si="15"/>
        <v>400</v>
      </c>
      <c r="M26" s="27">
        <f>((0.25*C26*4))</f>
        <v>200</v>
      </c>
      <c r="N26" s="27">
        <f>((0.5*C26*4))</f>
        <v>400</v>
      </c>
      <c r="O26" s="8">
        <f t="shared" ref="O26:O27" si="31">((C26*4))</f>
        <v>800</v>
      </c>
    </row>
    <row r="27" spans="1:17" ht="15.75" thickBot="1" x14ac:dyDescent="0.3">
      <c r="A27" s="184"/>
      <c r="B27" s="9" t="s">
        <v>25</v>
      </c>
      <c r="C27" s="10">
        <f t="shared" si="16"/>
        <v>200</v>
      </c>
      <c r="D27" s="10">
        <f>4*C27</f>
        <v>800</v>
      </c>
      <c r="E27" s="13">
        <f>0.5*F27</f>
        <v>3.1692028837745414</v>
      </c>
      <c r="F27" s="13">
        <f>(C27/(0.5*0.5*PI()))^(1/3)</f>
        <v>6.3384057675490828</v>
      </c>
      <c r="G27" s="29">
        <f t="shared" ref="G27" si="32">G$19</f>
        <v>3</v>
      </c>
      <c r="H27" s="32">
        <f t="shared" si="21"/>
        <v>200</v>
      </c>
      <c r="I27" s="14">
        <f t="shared" si="22"/>
        <v>220.00000000000003</v>
      </c>
      <c r="J27" s="14">
        <f>($C27*1.75)</f>
        <v>350</v>
      </c>
      <c r="K27" s="14">
        <f>$C27*(1.1+3*0.1)</f>
        <v>280</v>
      </c>
      <c r="L27" s="49">
        <f t="shared" si="15"/>
        <v>218.18181818181819</v>
      </c>
      <c r="M27" s="14">
        <f>((0.25*C27*4))</f>
        <v>200</v>
      </c>
      <c r="N27" s="14">
        <f>((0.5*C27*4))</f>
        <v>400</v>
      </c>
      <c r="O27" s="12">
        <f t="shared" si="31"/>
        <v>800</v>
      </c>
    </row>
    <row r="28" spans="1:17" ht="30" customHeight="1" x14ac:dyDescent="0.25">
      <c r="A28" s="183" t="s">
        <v>1</v>
      </c>
      <c r="B28" s="4" t="s">
        <v>24</v>
      </c>
      <c r="C28" s="7">
        <f t="shared" si="16"/>
        <v>200</v>
      </c>
      <c r="D28" s="7">
        <f>(1+3*0.25)*C28</f>
        <v>350</v>
      </c>
      <c r="E28" s="19">
        <f>F28</f>
        <v>3.9929454246550797</v>
      </c>
      <c r="F28" s="19">
        <f>(C28/(1*1*PI()))^(1/3)</f>
        <v>3.9929454246550797</v>
      </c>
      <c r="G28" s="92">
        <f t="shared" ref="G28" si="33">G$18</f>
        <v>0.5</v>
      </c>
      <c r="H28" s="30">
        <f t="shared" si="21"/>
        <v>200</v>
      </c>
      <c r="I28" s="27">
        <f t="shared" si="22"/>
        <v>220.00000000000003</v>
      </c>
      <c r="J28" s="27">
        <f>($C28*(1+3*0.25*0.25))</f>
        <v>237.5</v>
      </c>
      <c r="K28" s="27">
        <f>($C28*(1.1+3*0.25*0.1))</f>
        <v>235</v>
      </c>
      <c r="L28" s="48">
        <f t="shared" si="15"/>
        <v>400</v>
      </c>
      <c r="M28" s="27">
        <f>((0.25*C28*1.75))</f>
        <v>87.5</v>
      </c>
      <c r="N28" s="27">
        <f>((0.5*C28*1.75))</f>
        <v>175</v>
      </c>
      <c r="O28" s="8">
        <f t="shared" ref="O28:O29" si="34">((C28*1.75))</f>
        <v>350</v>
      </c>
    </row>
    <row r="29" spans="1:17" ht="15.75" thickBot="1" x14ac:dyDescent="0.3">
      <c r="A29" s="184"/>
      <c r="B29" s="9" t="s">
        <v>25</v>
      </c>
      <c r="C29" s="10">
        <f t="shared" si="16"/>
        <v>200</v>
      </c>
      <c r="D29" s="10">
        <f>(1+3*0.25)*C29</f>
        <v>350</v>
      </c>
      <c r="E29" s="13">
        <f>F29</f>
        <v>3.9929454246550797</v>
      </c>
      <c r="F29" s="13">
        <f>(C29/(1*1*PI()))^(1/3)</f>
        <v>3.9929454246550797</v>
      </c>
      <c r="G29" s="93">
        <f t="shared" ref="G29" si="35">G$19</f>
        <v>3</v>
      </c>
      <c r="H29" s="32">
        <f t="shared" si="21"/>
        <v>200</v>
      </c>
      <c r="I29" s="14">
        <f t="shared" si="22"/>
        <v>220.00000000000003</v>
      </c>
      <c r="J29" s="14">
        <f>($C29*(1+3*0.25*0.25))</f>
        <v>237.5</v>
      </c>
      <c r="K29" s="14">
        <f>($C29*(1.1+3*0.25*0.1))</f>
        <v>235</v>
      </c>
      <c r="L29" s="49">
        <f t="shared" si="15"/>
        <v>218.18181818181819</v>
      </c>
      <c r="M29" s="14">
        <f>((0.25*C29*1.75))</f>
        <v>87.5</v>
      </c>
      <c r="N29" s="14">
        <f>((0.5*C29*1.75))</f>
        <v>175</v>
      </c>
      <c r="O29" s="12">
        <f t="shared" si="34"/>
        <v>350</v>
      </c>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5">
      <colorScale>
        <cfvo type="min"/>
        <cfvo type="max"/>
        <color theme="8" tint="0.79998168889431442"/>
        <color theme="8"/>
      </colorScale>
    </cfRule>
  </conditionalFormatting>
  <conditionalFormatting sqref="H18:O19">
    <cfRule type="colorScale" priority="18">
      <colorScale>
        <cfvo type="min"/>
        <cfvo type="max"/>
        <color theme="8" tint="0.79998168889431442"/>
        <color theme="8"/>
      </colorScale>
    </cfRule>
  </conditionalFormatting>
  <conditionalFormatting sqref="H12:O13">
    <cfRule type="colorScale" priority="17">
      <colorScale>
        <cfvo type="min"/>
        <cfvo type="max"/>
        <color theme="8" tint="0.79998168889431442"/>
        <color theme="8"/>
      </colorScale>
    </cfRule>
  </conditionalFormatting>
  <conditionalFormatting sqref="H6:O7">
    <cfRule type="colorScale" priority="16">
      <colorScale>
        <cfvo type="min"/>
        <cfvo type="max"/>
        <color theme="8" tint="0.79998168889431442"/>
        <color theme="8"/>
      </colorScale>
    </cfRule>
  </conditionalFormatting>
  <conditionalFormatting sqref="H8:O9">
    <cfRule type="colorScale" priority="14">
      <colorScale>
        <cfvo type="min"/>
        <cfvo type="max"/>
        <color theme="8" tint="0.79998168889431442"/>
        <color theme="8"/>
      </colorScale>
    </cfRule>
  </conditionalFormatting>
  <conditionalFormatting sqref="H10:O11">
    <cfRule type="colorScale" priority="13">
      <colorScale>
        <cfvo type="min"/>
        <cfvo type="max"/>
        <color theme="8" tint="0.79998168889431442"/>
        <color theme="8"/>
      </colorScale>
    </cfRule>
  </conditionalFormatting>
  <conditionalFormatting sqref="H14:O15">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18 G28 G20 G22 G24 G26">
    <cfRule type="cellIs" dxfId="31" priority="6" operator="greaterThan">
      <formula>F18</formula>
    </cfRule>
  </conditionalFormatting>
  <conditionalFormatting sqref="G19 G29 G21 G23 G25 G27">
    <cfRule type="cellIs" dxfId="30" priority="5" operator="greaterThan">
      <formula>F19</formula>
    </cfRule>
  </conditionalFormatting>
  <conditionalFormatting sqref="G4">
    <cfRule type="cellIs" dxfId="29" priority="4" operator="greaterThan">
      <formula>F4</formula>
    </cfRule>
  </conditionalFormatting>
  <conditionalFormatting sqref="G5">
    <cfRule type="cellIs" dxfId="28" priority="3" operator="greaterThan">
      <formula>F5</formula>
    </cfRule>
  </conditionalFormatting>
  <conditionalFormatting sqref="G6 G8 G10 G12 G14">
    <cfRule type="cellIs" dxfId="27" priority="2" operator="greaterThan">
      <formula>F6</formula>
    </cfRule>
  </conditionalFormatting>
  <conditionalFormatting sqref="G7 G9 G11 G13 G15">
    <cfRule type="cellIs" dxfId="26" priority="1" operator="greaterThan">
      <formula>F7</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AEB65-EABD-4A07-88E7-409DF3EBD751}">
  <sheetPr>
    <tabColor theme="6"/>
  </sheetPr>
  <dimension ref="A1:O29"/>
  <sheetViews>
    <sheetView workbookViewId="0">
      <selection activeCell="L23" sqref="L23"/>
    </sheetView>
  </sheetViews>
  <sheetFormatPr defaultColWidth="9.140625" defaultRowHeight="15" x14ac:dyDescent="0.25"/>
  <cols>
    <col min="1" max="1" width="37.28515625" style="2" customWidth="1"/>
    <col min="2" max="2" width="16.28515625" style="2" bestFit="1" customWidth="1"/>
    <col min="3" max="3" width="11.28515625" style="2" bestFit="1" customWidth="1"/>
    <col min="4" max="4" width="11.28515625" style="2" customWidth="1"/>
    <col min="5" max="5" width="9.7109375" style="2" bestFit="1" customWidth="1"/>
    <col min="6" max="6" width="11" style="2" bestFit="1" customWidth="1"/>
    <col min="7" max="7" width="14.28515625" style="2" bestFit="1" customWidth="1"/>
    <col min="8" max="9" width="13.7109375" style="2" customWidth="1"/>
    <col min="10" max="11" width="18.42578125" style="2" customWidth="1"/>
    <col min="12" max="12" width="15.7109375" style="2" customWidth="1"/>
    <col min="13" max="14" width="13.7109375" style="2" customWidth="1"/>
    <col min="15" max="15" width="9.140625" style="2" bestFit="1" customWidth="1"/>
    <col min="16" max="16384" width="9.140625" style="2"/>
  </cols>
  <sheetData>
    <row r="1" spans="1:15" ht="15.75" thickBot="1" x14ac:dyDescent="0.3">
      <c r="L1" s="150" t="s">
        <v>30</v>
      </c>
    </row>
    <row r="2" spans="1:15" ht="15.75" thickBot="1" x14ac:dyDescent="0.3">
      <c r="A2" s="146" t="s">
        <v>59</v>
      </c>
      <c r="B2" s="147"/>
      <c r="C2" s="147"/>
      <c r="D2" s="147"/>
      <c r="E2" s="147"/>
      <c r="F2" s="147"/>
      <c r="G2" s="147"/>
      <c r="H2" s="147"/>
      <c r="I2" s="147"/>
      <c r="J2" s="147"/>
      <c r="K2" s="147"/>
      <c r="L2" s="148">
        <v>0.25</v>
      </c>
      <c r="M2" s="147"/>
      <c r="N2" s="147"/>
      <c r="O2" s="149"/>
    </row>
    <row r="3" spans="1:15" ht="45.75" thickBot="1" x14ac:dyDescent="0.3">
      <c r="A3" s="96" t="s">
        <v>16</v>
      </c>
      <c r="B3" s="97" t="s">
        <v>15</v>
      </c>
      <c r="C3" s="86" t="s">
        <v>56</v>
      </c>
      <c r="D3" s="86" t="s">
        <v>57</v>
      </c>
      <c r="E3" s="97" t="s">
        <v>14</v>
      </c>
      <c r="F3" s="97" t="s">
        <v>13</v>
      </c>
      <c r="G3" s="98" t="s">
        <v>12</v>
      </c>
      <c r="H3" s="99" t="s">
        <v>11</v>
      </c>
      <c r="I3" s="86" t="s">
        <v>10</v>
      </c>
      <c r="J3" s="86" t="s">
        <v>7</v>
      </c>
      <c r="K3" s="145" t="s">
        <v>58</v>
      </c>
      <c r="L3" s="152" t="s">
        <v>81</v>
      </c>
      <c r="M3" s="100" t="s">
        <v>9</v>
      </c>
      <c r="N3" s="86" t="s">
        <v>8</v>
      </c>
      <c r="O3" s="101" t="s">
        <v>22</v>
      </c>
    </row>
    <row r="4" spans="1:15" x14ac:dyDescent="0.25">
      <c r="A4" s="179" t="s">
        <v>6</v>
      </c>
      <c r="B4" s="4" t="s">
        <v>23</v>
      </c>
      <c r="C4" s="5">
        <v>200</v>
      </c>
      <c r="D4" s="7">
        <f>C4</f>
        <v>200</v>
      </c>
      <c r="E4" s="6">
        <f>2.5*F4</f>
        <v>5.4192607013928908</v>
      </c>
      <c r="F4" s="6">
        <f>(C4/(2.5*2.5*PI()))^(1/3)</f>
        <v>2.1677042805571562</v>
      </c>
      <c r="G4" s="28">
        <f>0.1*F4</f>
        <v>0.21677042805571564</v>
      </c>
      <c r="H4" s="50">
        <f t="shared" ref="H4:H15" si="0">($C4/$G4)</f>
        <v>922.63507432201402</v>
      </c>
      <c r="I4" s="51">
        <f>($C4*1.1/$G4)</f>
        <v>1014.8985817542156</v>
      </c>
      <c r="J4" s="51">
        <f>($C4/$G4)</f>
        <v>922.63507432201402</v>
      </c>
      <c r="K4" s="51">
        <f>($C4*1.1/$G4)</f>
        <v>1014.8985817542156</v>
      </c>
      <c r="L4" s="52" t="str">
        <f t="shared" ref="L4:L15" si="1">IFERROR(IF(($C4/($G4-$L$2))&lt;=0,"Niet mogelijk",($C4/($G4-$L$2))),"Niet mogelijk")</f>
        <v>Niet mogelijk</v>
      </c>
      <c r="M4" s="51"/>
      <c r="N4" s="51"/>
      <c r="O4" s="53">
        <f>H4</f>
        <v>922.63507432201402</v>
      </c>
    </row>
    <row r="5" spans="1:15" ht="15.75" thickBot="1" x14ac:dyDescent="0.3">
      <c r="A5" s="180"/>
      <c r="B5" s="9" t="s">
        <v>0</v>
      </c>
      <c r="C5" s="10">
        <f t="shared" ref="C5:C15" si="2">C4</f>
        <v>200</v>
      </c>
      <c r="D5" s="16">
        <f t="shared" ref="D5:D7" si="3">C5</f>
        <v>200</v>
      </c>
      <c r="E5" s="11">
        <f>2.5*F5</f>
        <v>5.4192607013928908</v>
      </c>
      <c r="F5" s="11">
        <f>(C5/(2.5*2.5*PI()))^(1/3)</f>
        <v>2.1677042805571562</v>
      </c>
      <c r="G5" s="29">
        <f>0.4*F5</f>
        <v>0.86708171222286257</v>
      </c>
      <c r="H5" s="54">
        <f t="shared" si="0"/>
        <v>230.65876858050351</v>
      </c>
      <c r="I5" s="55">
        <f t="shared" ref="I5:I15" si="4">($C5*1.1/$G5)</f>
        <v>253.72464543855389</v>
      </c>
      <c r="J5" s="55">
        <f>($C5/$G5)</f>
        <v>230.65876858050351</v>
      </c>
      <c r="K5" s="55">
        <f t="shared" ref="K5:K7" si="5">($C5*1.1/$G5)</f>
        <v>253.72464543855389</v>
      </c>
      <c r="L5" s="56">
        <f t="shared" si="1"/>
        <v>324.10618567767386</v>
      </c>
      <c r="M5" s="55"/>
      <c r="N5" s="55"/>
      <c r="O5" s="57">
        <f t="shared" ref="O5:O7" si="6">H5</f>
        <v>230.65876858050351</v>
      </c>
    </row>
    <row r="6" spans="1:15" x14ac:dyDescent="0.25">
      <c r="A6" s="181" t="s">
        <v>5</v>
      </c>
      <c r="B6" s="4" t="s">
        <v>23</v>
      </c>
      <c r="C6" s="7">
        <f t="shared" si="2"/>
        <v>200</v>
      </c>
      <c r="D6" s="7">
        <f t="shared" si="3"/>
        <v>200</v>
      </c>
      <c r="E6" s="6">
        <f>0.25*F6</f>
        <v>2.5153979958021795</v>
      </c>
      <c r="F6" s="6">
        <f>(C6/(0.25*0.25*PI()))^(1/3)</f>
        <v>10.061591983208718</v>
      </c>
      <c r="G6" s="28">
        <f>0.1*F6</f>
        <v>1.0061591983208718</v>
      </c>
      <c r="H6" s="58">
        <f t="shared" si="0"/>
        <v>198.77570103594928</v>
      </c>
      <c r="I6" s="59">
        <f t="shared" si="4"/>
        <v>218.65327113954424</v>
      </c>
      <c r="J6" s="59">
        <f>($C6/$G6)</f>
        <v>198.77570103594928</v>
      </c>
      <c r="K6" s="59">
        <f t="shared" si="5"/>
        <v>218.65327113954424</v>
      </c>
      <c r="L6" s="60">
        <f t="shared" si="1"/>
        <v>264.4945673399468</v>
      </c>
      <c r="M6" s="59"/>
      <c r="N6" s="59"/>
      <c r="O6" s="61">
        <f t="shared" si="6"/>
        <v>198.77570103594928</v>
      </c>
    </row>
    <row r="7" spans="1:15" ht="15.75" thickBot="1" x14ac:dyDescent="0.3">
      <c r="A7" s="182"/>
      <c r="B7" s="9" t="s">
        <v>0</v>
      </c>
      <c r="C7" s="10">
        <f t="shared" si="2"/>
        <v>200</v>
      </c>
      <c r="D7" s="10">
        <f t="shared" si="3"/>
        <v>200</v>
      </c>
      <c r="E7" s="11">
        <f>0.25*F7</f>
        <v>2.5153979958021795</v>
      </c>
      <c r="F7" s="11">
        <f>(C7/(0.25*0.25*PI()))^(1/3)</f>
        <v>10.061591983208718</v>
      </c>
      <c r="G7" s="29">
        <f>0.4*F7</f>
        <v>4.024636793283487</v>
      </c>
      <c r="H7" s="54">
        <f t="shared" si="0"/>
        <v>49.693925258987321</v>
      </c>
      <c r="I7" s="55">
        <f t="shared" si="4"/>
        <v>54.663317784886061</v>
      </c>
      <c r="J7" s="55">
        <f>($C7/$G7)</f>
        <v>49.693925258987321</v>
      </c>
      <c r="K7" s="55">
        <f t="shared" si="5"/>
        <v>54.663317784886061</v>
      </c>
      <c r="L7" s="56">
        <f t="shared" si="1"/>
        <v>52.985230355375116</v>
      </c>
      <c r="M7" s="55"/>
      <c r="N7" s="55"/>
      <c r="O7" s="57">
        <f t="shared" si="6"/>
        <v>49.693925258987321</v>
      </c>
    </row>
    <row r="8" spans="1:15" x14ac:dyDescent="0.25">
      <c r="A8" s="177" t="s">
        <v>4</v>
      </c>
      <c r="B8" s="4" t="s">
        <v>23</v>
      </c>
      <c r="C8" s="7">
        <f t="shared" si="2"/>
        <v>200</v>
      </c>
      <c r="D8" s="7">
        <f>2*C8</f>
        <v>400</v>
      </c>
      <c r="E8" s="6">
        <f>F8</f>
        <v>3.9929454246550797</v>
      </c>
      <c r="F8" s="6">
        <f>(C8/(1*1*PI()))^(1/3)</f>
        <v>3.9929454246550797</v>
      </c>
      <c r="G8" s="28">
        <f>0.1*F8</f>
        <v>0.399294542465508</v>
      </c>
      <c r="H8" s="50">
        <f t="shared" si="0"/>
        <v>500.88337988560528</v>
      </c>
      <c r="I8" s="51">
        <f t="shared" si="4"/>
        <v>550.97171787416596</v>
      </c>
      <c r="J8" s="51">
        <f>((C8+0.25*C8)/G8)</f>
        <v>626.10422485700667</v>
      </c>
      <c r="K8" s="51">
        <f>((1.1*C8+0.1*C8)/G8)</f>
        <v>601.06005586272647</v>
      </c>
      <c r="L8" s="52">
        <f t="shared" si="1"/>
        <v>1339.6336979043065</v>
      </c>
      <c r="M8" s="51">
        <f>((0.25*$C8*2)/$G8)</f>
        <v>250.44168994280264</v>
      </c>
      <c r="N8" s="51">
        <f>((0.5*C8*2)/G8)</f>
        <v>500.88337988560528</v>
      </c>
      <c r="O8" s="53">
        <f>(($C8*2)/$G8)</f>
        <v>1001.7667597712106</v>
      </c>
    </row>
    <row r="9" spans="1:15" ht="15.75" thickBot="1" x14ac:dyDescent="0.3">
      <c r="A9" s="178"/>
      <c r="B9" s="20" t="s">
        <v>0</v>
      </c>
      <c r="C9" s="10">
        <f t="shared" si="2"/>
        <v>200</v>
      </c>
      <c r="D9" s="10">
        <f>2*C9</f>
        <v>400</v>
      </c>
      <c r="E9" s="11">
        <f>F9</f>
        <v>3.9929454246550797</v>
      </c>
      <c r="F9" s="11">
        <f>(C9/(1*1*PI()))^(1/3)</f>
        <v>3.9929454246550797</v>
      </c>
      <c r="G9" s="29">
        <f>0.4*F9</f>
        <v>1.597178169862032</v>
      </c>
      <c r="H9" s="54">
        <f t="shared" si="0"/>
        <v>125.22084497140132</v>
      </c>
      <c r="I9" s="55">
        <f t="shared" si="4"/>
        <v>137.74292946854149</v>
      </c>
      <c r="J9" s="55">
        <f>((C9+0.25*C9)/G9)</f>
        <v>156.52605621425167</v>
      </c>
      <c r="K9" s="55">
        <f t="shared" ref="K9:K11" si="7">((1.1*C9+0.1*C9)/G9)</f>
        <v>150.26501396568162</v>
      </c>
      <c r="L9" s="56">
        <f t="shared" si="1"/>
        <v>148.45846264008458</v>
      </c>
      <c r="M9" s="55">
        <f>((0.25*$C9*2)/$G9)</f>
        <v>62.61042248570066</v>
      </c>
      <c r="N9" s="55">
        <f>((0.5*C9*2)/G9)</f>
        <v>125.22084497140132</v>
      </c>
      <c r="O9" s="57">
        <f>(($C9*2)/$G9)</f>
        <v>250.44168994280264</v>
      </c>
    </row>
    <row r="10" spans="1:15" x14ac:dyDescent="0.25">
      <c r="A10" s="177" t="s">
        <v>3</v>
      </c>
      <c r="B10" s="4" t="s">
        <v>23</v>
      </c>
      <c r="C10" s="7">
        <f t="shared" si="2"/>
        <v>200</v>
      </c>
      <c r="D10" s="7">
        <f>2*C10</f>
        <v>400</v>
      </c>
      <c r="E10" s="6">
        <f>0.5*F10</f>
        <v>3.1692028837745414</v>
      </c>
      <c r="F10" s="6">
        <f>(C10/(0.5*0.5*PI()))^(1/3)</f>
        <v>6.3384057675490828</v>
      </c>
      <c r="G10" s="28">
        <f>0.1*F10</f>
        <v>0.63384057675490835</v>
      </c>
      <c r="H10" s="50">
        <f t="shared" si="0"/>
        <v>315.53675693018221</v>
      </c>
      <c r="I10" s="51">
        <f t="shared" si="4"/>
        <v>347.09043262320046</v>
      </c>
      <c r="J10" s="51">
        <f>((C10+0.25*C10)/G10)</f>
        <v>394.42094616272772</v>
      </c>
      <c r="K10" s="51">
        <f t="shared" si="7"/>
        <v>378.64410831621865</v>
      </c>
      <c r="L10" s="52">
        <f t="shared" si="1"/>
        <v>521.0496547573315</v>
      </c>
      <c r="M10" s="51">
        <f>((0.25*$C10*2)/$G10)</f>
        <v>157.7683784650911</v>
      </c>
      <c r="N10" s="51">
        <f>((0.5*C10*2)/G10)</f>
        <v>315.53675693018221</v>
      </c>
      <c r="O10" s="53">
        <f>(($C10*2)/$G10)</f>
        <v>631.07351386036441</v>
      </c>
    </row>
    <row r="11" spans="1:15" ht="15.75" thickBot="1" x14ac:dyDescent="0.3">
      <c r="A11" s="178"/>
      <c r="B11" s="20" t="s">
        <v>0</v>
      </c>
      <c r="C11" s="10">
        <f t="shared" si="2"/>
        <v>200</v>
      </c>
      <c r="D11" s="10">
        <f>2*C11</f>
        <v>400</v>
      </c>
      <c r="E11" s="11">
        <f>0.5*F11</f>
        <v>3.1692028837745414</v>
      </c>
      <c r="F11" s="11">
        <f>(C11/(0.5*0.5*PI()))^(1/3)</f>
        <v>6.3384057675490828</v>
      </c>
      <c r="G11" s="29">
        <f>0.4*F11</f>
        <v>2.5353623070196334</v>
      </c>
      <c r="H11" s="54">
        <f t="shared" si="0"/>
        <v>78.884189232545552</v>
      </c>
      <c r="I11" s="55">
        <f t="shared" si="4"/>
        <v>86.772608155800114</v>
      </c>
      <c r="J11" s="55">
        <f>((C11+0.25*C11)/G11)</f>
        <v>98.605236540681929</v>
      </c>
      <c r="K11" s="55">
        <f t="shared" si="7"/>
        <v>94.661027079054662</v>
      </c>
      <c r="L11" s="56">
        <f t="shared" si="1"/>
        <v>87.513476259623033</v>
      </c>
      <c r="M11" s="55">
        <f>((0.25*$C11*2)/$G11)</f>
        <v>39.442094616272776</v>
      </c>
      <c r="N11" s="55">
        <f>((0.5*C11*2)/G11)</f>
        <v>78.884189232545552</v>
      </c>
      <c r="O11" s="57">
        <f>(($C11*2)/$G11)</f>
        <v>157.7683784650911</v>
      </c>
    </row>
    <row r="12" spans="1:15" x14ac:dyDescent="0.25">
      <c r="A12" s="177" t="s">
        <v>2</v>
      </c>
      <c r="B12" s="4" t="s">
        <v>23</v>
      </c>
      <c r="C12" s="7">
        <f t="shared" si="2"/>
        <v>200</v>
      </c>
      <c r="D12" s="7">
        <f>4*C12</f>
        <v>800</v>
      </c>
      <c r="E12" s="6">
        <f>0.5*F12</f>
        <v>3.1692028837745414</v>
      </c>
      <c r="F12" s="6">
        <f>(C12/(0.5*0.5*PI()))^(1/3)</f>
        <v>6.3384057675490828</v>
      </c>
      <c r="G12" s="28">
        <f>0.1*F12</f>
        <v>0.63384057675490835</v>
      </c>
      <c r="H12" s="50">
        <f t="shared" si="0"/>
        <v>315.53675693018221</v>
      </c>
      <c r="I12" s="51">
        <f t="shared" si="4"/>
        <v>347.09043262320046</v>
      </c>
      <c r="J12" s="51">
        <f>((C12+0.75*C12)/G12)</f>
        <v>552.18932462781879</v>
      </c>
      <c r="K12" s="51">
        <f>((1.1*C12+3*0.1*C12)/G12)</f>
        <v>441.75145970225515</v>
      </c>
      <c r="L12" s="52">
        <f t="shared" si="1"/>
        <v>521.0496547573315</v>
      </c>
      <c r="M12" s="51">
        <f>((0.25*$C12*4)/$G12)</f>
        <v>315.53675693018221</v>
      </c>
      <c r="N12" s="51">
        <f>((0.5*C12*4)/G12)</f>
        <v>631.07351386036441</v>
      </c>
      <c r="O12" s="53">
        <f>(($C12*4)/$G12)</f>
        <v>1262.1470277207288</v>
      </c>
    </row>
    <row r="13" spans="1:15" ht="15.75" thickBot="1" x14ac:dyDescent="0.3">
      <c r="A13" s="178"/>
      <c r="B13" s="20" t="s">
        <v>0</v>
      </c>
      <c r="C13" s="10">
        <f t="shared" si="2"/>
        <v>200</v>
      </c>
      <c r="D13" s="10">
        <f>4*C13</f>
        <v>800</v>
      </c>
      <c r="E13" s="11">
        <f>0.5*F13</f>
        <v>3.1692028837745414</v>
      </c>
      <c r="F13" s="11">
        <f>(C13/(0.5*0.5*PI()))^(1/3)</f>
        <v>6.3384057675490828</v>
      </c>
      <c r="G13" s="29">
        <f>0.4*F13</f>
        <v>2.5353623070196334</v>
      </c>
      <c r="H13" s="54">
        <f t="shared" si="0"/>
        <v>78.884189232545552</v>
      </c>
      <c r="I13" s="55">
        <f t="shared" si="4"/>
        <v>86.772608155800114</v>
      </c>
      <c r="J13" s="55">
        <f>((C13+0.75*C13)/G13)</f>
        <v>138.0473311569547</v>
      </c>
      <c r="K13" s="55">
        <f>((1.1*C13+3*0.1*C13)/G13)</f>
        <v>110.43786492556379</v>
      </c>
      <c r="L13" s="56">
        <f t="shared" si="1"/>
        <v>87.513476259623033</v>
      </c>
      <c r="M13" s="55">
        <f>((0.25*$C13*4)/$G13)</f>
        <v>78.884189232545552</v>
      </c>
      <c r="N13" s="55">
        <f>((0.5*C13*4)/G13)</f>
        <v>157.7683784650911</v>
      </c>
      <c r="O13" s="57">
        <f>(($C13*4)/$G13)</f>
        <v>315.53675693018221</v>
      </c>
    </row>
    <row r="14" spans="1:15" ht="30" customHeight="1" x14ac:dyDescent="0.25">
      <c r="A14" s="177" t="s">
        <v>1</v>
      </c>
      <c r="B14" s="4" t="s">
        <v>23</v>
      </c>
      <c r="C14" s="7">
        <f t="shared" si="2"/>
        <v>200</v>
      </c>
      <c r="D14" s="7">
        <f>(1+3*0.25)*C14</f>
        <v>350</v>
      </c>
      <c r="E14" s="6">
        <f>F14</f>
        <v>3.9929454246550797</v>
      </c>
      <c r="F14" s="6">
        <f>(C14/(1*1*PI()))^(1/3)</f>
        <v>3.9929454246550797</v>
      </c>
      <c r="G14" s="28">
        <f>0.1*F14</f>
        <v>0.399294542465508</v>
      </c>
      <c r="H14" s="50">
        <f t="shared" si="0"/>
        <v>500.88337988560528</v>
      </c>
      <c r="I14" s="51">
        <f t="shared" si="4"/>
        <v>550.97171787416596</v>
      </c>
      <c r="J14" s="51">
        <f>((C14+3*0.25*0.25*C14)/G14)</f>
        <v>594.79901361415625</v>
      </c>
      <c r="K14" s="51">
        <f>((1.1*C14+3*0.25*0.1*C14)/G14)</f>
        <v>588.53797136558626</v>
      </c>
      <c r="L14" s="52">
        <f t="shared" si="1"/>
        <v>1339.6336979043065</v>
      </c>
      <c r="M14" s="51">
        <f>((0.25*$C14*1.75)/$G14)</f>
        <v>219.13647869995231</v>
      </c>
      <c r="N14" s="51">
        <f>((0.5*C14*1.75)/G14)</f>
        <v>438.27295739990461</v>
      </c>
      <c r="O14" s="53">
        <f>(($C14*1.75)/$G14)</f>
        <v>876.54591479980922</v>
      </c>
    </row>
    <row r="15" spans="1:15" ht="15.75" thickBot="1" x14ac:dyDescent="0.3">
      <c r="A15" s="178"/>
      <c r="B15" s="20" t="s">
        <v>0</v>
      </c>
      <c r="C15" s="10">
        <f t="shared" si="2"/>
        <v>200</v>
      </c>
      <c r="D15" s="10">
        <f>(1+3*0.25)*C15</f>
        <v>350</v>
      </c>
      <c r="E15" s="11">
        <f>F15</f>
        <v>3.9929454246550797</v>
      </c>
      <c r="F15" s="11">
        <f>(C15/(1*1*PI()))^(1/3)</f>
        <v>3.9929454246550797</v>
      </c>
      <c r="G15" s="29">
        <f>0.4*F15</f>
        <v>1.597178169862032</v>
      </c>
      <c r="H15" s="54">
        <f t="shared" si="0"/>
        <v>125.22084497140132</v>
      </c>
      <c r="I15" s="55">
        <f t="shared" si="4"/>
        <v>137.74292946854149</v>
      </c>
      <c r="J15" s="55">
        <f>((C15+3*0.25*0.25*C15)/G15)</f>
        <v>148.69975340353906</v>
      </c>
      <c r="K15" s="55">
        <f>((1.1*C15+3*0.25*0.1*C15)/G15)</f>
        <v>147.13449284139656</v>
      </c>
      <c r="L15" s="56">
        <f t="shared" si="1"/>
        <v>148.45846264008458</v>
      </c>
      <c r="M15" s="55">
        <f>((0.25*$C15*1.75)/$G15)</f>
        <v>54.784119674988077</v>
      </c>
      <c r="N15" s="55">
        <f>((0.5*C15*1.75)/G15)</f>
        <v>109.56823934997615</v>
      </c>
      <c r="O15" s="57">
        <f>(($C15*1.75)/$G15)</f>
        <v>219.13647869995231</v>
      </c>
    </row>
    <row r="16" spans="1:15" ht="15.75" thickBot="1" x14ac:dyDescent="0.3">
      <c r="A16" s="185" t="s">
        <v>60</v>
      </c>
      <c r="B16" s="186"/>
      <c r="C16" s="186"/>
      <c r="D16" s="186"/>
      <c r="E16" s="186"/>
      <c r="F16" s="186"/>
      <c r="G16" s="186"/>
      <c r="H16" s="186"/>
      <c r="I16" s="186"/>
      <c r="J16" s="186"/>
      <c r="K16" s="186"/>
      <c r="L16" s="186"/>
      <c r="M16" s="186"/>
      <c r="N16" s="186"/>
      <c r="O16" s="187"/>
    </row>
    <row r="17" spans="1:15" ht="45.75" thickBot="1" x14ac:dyDescent="0.3">
      <c r="A17" s="41" t="s">
        <v>16</v>
      </c>
      <c r="B17" s="42" t="s">
        <v>15</v>
      </c>
      <c r="C17" s="86" t="s">
        <v>56</v>
      </c>
      <c r="D17" s="86" t="s">
        <v>57</v>
      </c>
      <c r="E17" s="42" t="s">
        <v>14</v>
      </c>
      <c r="F17" s="42" t="s">
        <v>13</v>
      </c>
      <c r="G17" s="68" t="s">
        <v>12</v>
      </c>
      <c r="H17" s="38" t="s">
        <v>11</v>
      </c>
      <c r="I17" s="38" t="s">
        <v>10</v>
      </c>
      <c r="J17" s="38" t="s">
        <v>7</v>
      </c>
      <c r="K17" s="68" t="s">
        <v>58</v>
      </c>
      <c r="L17" s="152" t="s">
        <v>81</v>
      </c>
      <c r="M17" s="39" t="s">
        <v>9</v>
      </c>
      <c r="N17" s="38" t="s">
        <v>8</v>
      </c>
      <c r="O17" s="40" t="s">
        <v>22</v>
      </c>
    </row>
    <row r="18" spans="1:15" x14ac:dyDescent="0.25">
      <c r="A18" s="179" t="s">
        <v>6</v>
      </c>
      <c r="B18" s="4" t="s">
        <v>24</v>
      </c>
      <c r="C18" s="7">
        <f>C4</f>
        <v>200</v>
      </c>
      <c r="D18" s="7">
        <f>C18</f>
        <v>200</v>
      </c>
      <c r="E18" s="6">
        <f>2.5*F18</f>
        <v>5.4192607013928908</v>
      </c>
      <c r="F18" s="6">
        <f>(C18/(2.5*2.5*PI()))^(1/3)</f>
        <v>2.1677042805571562</v>
      </c>
      <c r="G18" s="91">
        <v>0.5</v>
      </c>
      <c r="H18" s="50">
        <f t="shared" ref="H18:H29" si="8">($C18/$G18)</f>
        <v>400</v>
      </c>
      <c r="I18" s="51">
        <f t="shared" ref="I18:I29" si="9">($C18*1.1/$G18)</f>
        <v>440.00000000000006</v>
      </c>
      <c r="J18" s="51">
        <f>($C18/$G18)</f>
        <v>400</v>
      </c>
      <c r="K18" s="51">
        <f t="shared" ref="K18:K21" si="10">($C18*1.1/$G18)</f>
        <v>440.00000000000006</v>
      </c>
      <c r="L18" s="52">
        <f t="shared" ref="L18:L29" si="11">IFERROR(IF(($C18/($G18-$L$2))&lt;=0,"Niet mogelijk",($C18/($G18-$L$2))),"Niet mogelijk")</f>
        <v>800</v>
      </c>
      <c r="M18" s="51"/>
      <c r="N18" s="51"/>
      <c r="O18" s="53">
        <f>H18</f>
        <v>400</v>
      </c>
    </row>
    <row r="19" spans="1:15" ht="15.75" thickBot="1" x14ac:dyDescent="0.3">
      <c r="A19" s="180"/>
      <c r="B19" s="9" t="s">
        <v>25</v>
      </c>
      <c r="C19" s="10">
        <f t="shared" ref="C19:C29" si="12">C18</f>
        <v>200</v>
      </c>
      <c r="D19" s="10">
        <f t="shared" ref="D19:D21" si="13">C19</f>
        <v>200</v>
      </c>
      <c r="E19" s="11">
        <f>2.5*F19</f>
        <v>5.4192607013928908</v>
      </c>
      <c r="F19" s="11">
        <f>(C19/(2.5*2.5*PI()))^(1/3)</f>
        <v>2.1677042805571562</v>
      </c>
      <c r="G19" s="91">
        <v>3</v>
      </c>
      <c r="H19" s="54">
        <f t="shared" si="8"/>
        <v>66.666666666666671</v>
      </c>
      <c r="I19" s="55">
        <f t="shared" si="9"/>
        <v>73.333333333333343</v>
      </c>
      <c r="J19" s="55">
        <f>($C19/$G19)</f>
        <v>66.666666666666671</v>
      </c>
      <c r="K19" s="55">
        <f t="shared" si="10"/>
        <v>73.333333333333343</v>
      </c>
      <c r="L19" s="56">
        <f t="shared" si="11"/>
        <v>72.727272727272734</v>
      </c>
      <c r="M19" s="55"/>
      <c r="N19" s="55"/>
      <c r="O19" s="57">
        <f t="shared" ref="O19:O21" si="14">H19</f>
        <v>66.666666666666671</v>
      </c>
    </row>
    <row r="20" spans="1:15" x14ac:dyDescent="0.25">
      <c r="A20" s="181" t="s">
        <v>5</v>
      </c>
      <c r="B20" s="4" t="s">
        <v>24</v>
      </c>
      <c r="C20" s="7">
        <f t="shared" si="12"/>
        <v>200</v>
      </c>
      <c r="D20" s="7">
        <f t="shared" si="13"/>
        <v>200</v>
      </c>
      <c r="E20" s="6">
        <f>0.25*F20</f>
        <v>2.5153979958021795</v>
      </c>
      <c r="F20" s="6">
        <f>(C20/(0.25*0.25*PI()))^(1/3)</f>
        <v>10.061591983208718</v>
      </c>
      <c r="G20" s="28">
        <f>G$18</f>
        <v>0.5</v>
      </c>
      <c r="H20" s="58">
        <f t="shared" si="8"/>
        <v>400</v>
      </c>
      <c r="I20" s="59">
        <f t="shared" si="9"/>
        <v>440.00000000000006</v>
      </c>
      <c r="J20" s="59">
        <f>($C20/$G20)</f>
        <v>400</v>
      </c>
      <c r="K20" s="59">
        <f t="shared" si="10"/>
        <v>440.00000000000006</v>
      </c>
      <c r="L20" s="60">
        <f t="shared" si="11"/>
        <v>800</v>
      </c>
      <c r="M20" s="59"/>
      <c r="N20" s="59"/>
      <c r="O20" s="61">
        <f t="shared" si="14"/>
        <v>400</v>
      </c>
    </row>
    <row r="21" spans="1:15" ht="15.75" thickBot="1" x14ac:dyDescent="0.3">
      <c r="A21" s="182"/>
      <c r="B21" s="9" t="s">
        <v>25</v>
      </c>
      <c r="C21" s="10">
        <f t="shared" si="12"/>
        <v>200</v>
      </c>
      <c r="D21" s="10">
        <f t="shared" si="13"/>
        <v>200</v>
      </c>
      <c r="E21" s="11">
        <f>0.25*F21</f>
        <v>2.5153979958021795</v>
      </c>
      <c r="F21" s="11">
        <f>(C21/(0.25*0.25*PI()))^(1/3)</f>
        <v>10.061591983208718</v>
      </c>
      <c r="G21" s="29">
        <f>G$19</f>
        <v>3</v>
      </c>
      <c r="H21" s="54">
        <f t="shared" si="8"/>
        <v>66.666666666666671</v>
      </c>
      <c r="I21" s="55">
        <f t="shared" si="9"/>
        <v>73.333333333333343</v>
      </c>
      <c r="J21" s="55">
        <f>($C21/$G21)</f>
        <v>66.666666666666671</v>
      </c>
      <c r="K21" s="55">
        <f t="shared" si="10"/>
        <v>73.333333333333343</v>
      </c>
      <c r="L21" s="56">
        <f t="shared" si="11"/>
        <v>72.727272727272734</v>
      </c>
      <c r="M21" s="55"/>
      <c r="N21" s="55"/>
      <c r="O21" s="57">
        <f t="shared" si="14"/>
        <v>66.666666666666671</v>
      </c>
    </row>
    <row r="22" spans="1:15" x14ac:dyDescent="0.25">
      <c r="A22" s="177" t="s">
        <v>4</v>
      </c>
      <c r="B22" s="4" t="s">
        <v>24</v>
      </c>
      <c r="C22" s="7">
        <f t="shared" si="12"/>
        <v>200</v>
      </c>
      <c r="D22" s="7">
        <f>2*C22</f>
        <v>400</v>
      </c>
      <c r="E22" s="19">
        <f>F22</f>
        <v>3.9929454246550797</v>
      </c>
      <c r="F22" s="19">
        <f>(C22/(1*1*PI()))^(1/3)</f>
        <v>3.9929454246550797</v>
      </c>
      <c r="G22" s="28">
        <f t="shared" ref="G22" si="15">G$18</f>
        <v>0.5</v>
      </c>
      <c r="H22" s="50">
        <f t="shared" si="8"/>
        <v>400</v>
      </c>
      <c r="I22" s="51">
        <f t="shared" si="9"/>
        <v>440.00000000000006</v>
      </c>
      <c r="J22" s="51">
        <f>((C22+0.25*C22)/G22)</f>
        <v>500</v>
      </c>
      <c r="K22" s="51">
        <f t="shared" ref="K22:K25" si="16">((1.1*C22+0.1*C22)/G22)</f>
        <v>480.00000000000006</v>
      </c>
      <c r="L22" s="52">
        <f t="shared" si="11"/>
        <v>800</v>
      </c>
      <c r="M22" s="51">
        <f>((0.25*$C22*2)/$G22)</f>
        <v>200</v>
      </c>
      <c r="N22" s="51">
        <f>((0.5*C22*2)/G22)</f>
        <v>400</v>
      </c>
      <c r="O22" s="53">
        <f>(($C22*2)/$G22)</f>
        <v>800</v>
      </c>
    </row>
    <row r="23" spans="1:15" ht="15.75" thickBot="1" x14ac:dyDescent="0.3">
      <c r="A23" s="178"/>
      <c r="B23" s="9" t="s">
        <v>25</v>
      </c>
      <c r="C23" s="10">
        <f t="shared" si="12"/>
        <v>200</v>
      </c>
      <c r="D23" s="10">
        <f>2*C23</f>
        <v>400</v>
      </c>
      <c r="E23" s="13">
        <f>F23</f>
        <v>3.9929454246550797</v>
      </c>
      <c r="F23" s="13">
        <f>(C23/(1*1*PI()))^(1/3)</f>
        <v>3.9929454246550797</v>
      </c>
      <c r="G23" s="29">
        <f t="shared" ref="G23" si="17">G$19</f>
        <v>3</v>
      </c>
      <c r="H23" s="54">
        <f t="shared" si="8"/>
        <v>66.666666666666671</v>
      </c>
      <c r="I23" s="55">
        <f t="shared" si="9"/>
        <v>73.333333333333343</v>
      </c>
      <c r="J23" s="55">
        <f>((C23+0.25*C23)/G23)</f>
        <v>83.333333333333329</v>
      </c>
      <c r="K23" s="55">
        <f t="shared" si="16"/>
        <v>80.000000000000014</v>
      </c>
      <c r="L23" s="56">
        <f t="shared" si="11"/>
        <v>72.727272727272734</v>
      </c>
      <c r="M23" s="55">
        <f>((0.25*$C23*2)/$G23)</f>
        <v>33.333333333333336</v>
      </c>
      <c r="N23" s="55">
        <f>((0.5*C23*2)/G23)</f>
        <v>66.666666666666671</v>
      </c>
      <c r="O23" s="57">
        <f>(($C23*2)/$G23)</f>
        <v>133.33333333333334</v>
      </c>
    </row>
    <row r="24" spans="1:15" x14ac:dyDescent="0.25">
      <c r="A24" s="177" t="s">
        <v>3</v>
      </c>
      <c r="B24" s="4" t="s">
        <v>24</v>
      </c>
      <c r="C24" s="7">
        <f t="shared" si="12"/>
        <v>200</v>
      </c>
      <c r="D24" s="7">
        <f>2*C24</f>
        <v>400</v>
      </c>
      <c r="E24" s="19">
        <f>0.5*F24</f>
        <v>3.1692028837745414</v>
      </c>
      <c r="F24" s="19">
        <f>(C24/(0.5*0.5*PI()))^(1/3)</f>
        <v>6.3384057675490828</v>
      </c>
      <c r="G24" s="28">
        <f t="shared" ref="G24" si="18">G$18</f>
        <v>0.5</v>
      </c>
      <c r="H24" s="50">
        <f t="shared" si="8"/>
        <v>400</v>
      </c>
      <c r="I24" s="51">
        <f t="shared" si="9"/>
        <v>440.00000000000006</v>
      </c>
      <c r="J24" s="51">
        <f>((C24+0.25*C24)/G24)</f>
        <v>500</v>
      </c>
      <c r="K24" s="51">
        <f t="shared" si="16"/>
        <v>480.00000000000006</v>
      </c>
      <c r="L24" s="52">
        <f t="shared" si="11"/>
        <v>800</v>
      </c>
      <c r="M24" s="51">
        <f>((0.25*$C24*2)/$G24)</f>
        <v>200</v>
      </c>
      <c r="N24" s="51">
        <f>((0.5*C24*2)/G24)</f>
        <v>400</v>
      </c>
      <c r="O24" s="53">
        <f>(($C24*2)/$G24)</f>
        <v>800</v>
      </c>
    </row>
    <row r="25" spans="1:15" ht="15.75" thickBot="1" x14ac:dyDescent="0.3">
      <c r="A25" s="178"/>
      <c r="B25" s="9" t="s">
        <v>25</v>
      </c>
      <c r="C25" s="10">
        <f t="shared" si="12"/>
        <v>200</v>
      </c>
      <c r="D25" s="10">
        <f>2*C25</f>
        <v>400</v>
      </c>
      <c r="E25" s="13">
        <f>0.5*F25</f>
        <v>3.1692028837745414</v>
      </c>
      <c r="F25" s="13">
        <f>(C25/(0.5*0.5*PI()))^(1/3)</f>
        <v>6.3384057675490828</v>
      </c>
      <c r="G25" s="29">
        <f t="shared" ref="G25" si="19">G$19</f>
        <v>3</v>
      </c>
      <c r="H25" s="54">
        <f t="shared" si="8"/>
        <v>66.666666666666671</v>
      </c>
      <c r="I25" s="55">
        <f t="shared" si="9"/>
        <v>73.333333333333343</v>
      </c>
      <c r="J25" s="55">
        <f>((C25+0.25*C25)/G25)</f>
        <v>83.333333333333329</v>
      </c>
      <c r="K25" s="55">
        <f t="shared" si="16"/>
        <v>80.000000000000014</v>
      </c>
      <c r="L25" s="56">
        <f t="shared" si="11"/>
        <v>72.727272727272734</v>
      </c>
      <c r="M25" s="55">
        <f>((0.25*$C25*2)/$G25)</f>
        <v>33.333333333333336</v>
      </c>
      <c r="N25" s="55">
        <f>((0.5*C25*2)/G25)</f>
        <v>66.666666666666671</v>
      </c>
      <c r="O25" s="57">
        <f>(($C25*2)/$G25)</f>
        <v>133.33333333333334</v>
      </c>
    </row>
    <row r="26" spans="1:15" x14ac:dyDescent="0.25">
      <c r="A26" s="177" t="s">
        <v>2</v>
      </c>
      <c r="B26" s="4" t="s">
        <v>24</v>
      </c>
      <c r="C26" s="7">
        <f t="shared" si="12"/>
        <v>200</v>
      </c>
      <c r="D26" s="7">
        <f>4*C26</f>
        <v>800</v>
      </c>
      <c r="E26" s="19">
        <f>0.5*F26</f>
        <v>3.1692028837745414</v>
      </c>
      <c r="F26" s="19">
        <f>(C26/(0.5*0.5*PI()))^(1/3)</f>
        <v>6.3384057675490828</v>
      </c>
      <c r="G26" s="28">
        <f t="shared" ref="G26" si="20">G$18</f>
        <v>0.5</v>
      </c>
      <c r="H26" s="50">
        <f t="shared" si="8"/>
        <v>400</v>
      </c>
      <c r="I26" s="51">
        <f t="shared" si="9"/>
        <v>440.00000000000006</v>
      </c>
      <c r="J26" s="51">
        <f>((C26+0.75*C26)/G26)</f>
        <v>700</v>
      </c>
      <c r="K26" s="51">
        <f t="shared" ref="K26:K27" si="21">((1.1*C26+3*0.1*C26)/G26)</f>
        <v>560.00000000000011</v>
      </c>
      <c r="L26" s="52">
        <f t="shared" si="11"/>
        <v>800</v>
      </c>
      <c r="M26" s="51">
        <f>((0.25*$C26*4)/$G26)</f>
        <v>400</v>
      </c>
      <c r="N26" s="51">
        <f>((0.5*C26*4)/G26)</f>
        <v>800</v>
      </c>
      <c r="O26" s="53">
        <f>(($C26*4)/$G26)</f>
        <v>1600</v>
      </c>
    </row>
    <row r="27" spans="1:15" ht="15.75" thickBot="1" x14ac:dyDescent="0.3">
      <c r="A27" s="178"/>
      <c r="B27" s="9" t="s">
        <v>25</v>
      </c>
      <c r="C27" s="10">
        <f t="shared" si="12"/>
        <v>200</v>
      </c>
      <c r="D27" s="10">
        <f>4*C27</f>
        <v>800</v>
      </c>
      <c r="E27" s="13">
        <f>0.5*F27</f>
        <v>3.1692028837745414</v>
      </c>
      <c r="F27" s="13">
        <f>(C27/(0.5*0.5*PI()))^(1/3)</f>
        <v>6.3384057675490828</v>
      </c>
      <c r="G27" s="29">
        <f t="shared" ref="G27" si="22">G$19</f>
        <v>3</v>
      </c>
      <c r="H27" s="54">
        <f t="shared" si="8"/>
        <v>66.666666666666671</v>
      </c>
      <c r="I27" s="55">
        <f t="shared" si="9"/>
        <v>73.333333333333343</v>
      </c>
      <c r="J27" s="55">
        <f>((C27+0.75*C27)/G27)</f>
        <v>116.66666666666667</v>
      </c>
      <c r="K27" s="55">
        <f t="shared" si="21"/>
        <v>93.333333333333357</v>
      </c>
      <c r="L27" s="56">
        <f t="shared" si="11"/>
        <v>72.727272727272734</v>
      </c>
      <c r="M27" s="55">
        <f>((0.25*$C27*4)/$G27)</f>
        <v>66.666666666666671</v>
      </c>
      <c r="N27" s="55">
        <f>((0.5*C27*4)/G27)</f>
        <v>133.33333333333334</v>
      </c>
      <c r="O27" s="57">
        <f>(($C27*4)/$G27)</f>
        <v>266.66666666666669</v>
      </c>
    </row>
    <row r="28" spans="1:15" ht="30" customHeight="1" x14ac:dyDescent="0.25">
      <c r="A28" s="177" t="s">
        <v>1</v>
      </c>
      <c r="B28" s="4" t="s">
        <v>24</v>
      </c>
      <c r="C28" s="7">
        <f t="shared" si="12"/>
        <v>200</v>
      </c>
      <c r="D28" s="7">
        <f>(1+3*0.25)*C28</f>
        <v>350</v>
      </c>
      <c r="E28" s="19">
        <f>F28</f>
        <v>3.9929454246550797</v>
      </c>
      <c r="F28" s="19">
        <f>(C28/(1*1*PI()))^(1/3)</f>
        <v>3.9929454246550797</v>
      </c>
      <c r="G28" s="92">
        <f t="shared" ref="G28" si="23">G$18</f>
        <v>0.5</v>
      </c>
      <c r="H28" s="50">
        <f t="shared" si="8"/>
        <v>400</v>
      </c>
      <c r="I28" s="51">
        <f t="shared" si="9"/>
        <v>440.00000000000006</v>
      </c>
      <c r="J28" s="51">
        <f>((C28+3*0.25*0.25*C28)/G28)</f>
        <v>475</v>
      </c>
      <c r="K28" s="51">
        <f t="shared" ref="K28:K29" si="24">((1.1*C28+3*0.25*0.1*C28)/G28)</f>
        <v>470.00000000000006</v>
      </c>
      <c r="L28" s="52">
        <f t="shared" si="11"/>
        <v>800</v>
      </c>
      <c r="M28" s="51">
        <f>((0.25*$C28*1.75)/$G28)</f>
        <v>175</v>
      </c>
      <c r="N28" s="51">
        <f>((0.5*C28*1.75)/G28)</f>
        <v>350</v>
      </c>
      <c r="O28" s="53">
        <f>(($C28*1.75)/$G28)</f>
        <v>700</v>
      </c>
    </row>
    <row r="29" spans="1:15" ht="15.75" thickBot="1" x14ac:dyDescent="0.3">
      <c r="A29" s="178"/>
      <c r="B29" s="9" t="s">
        <v>25</v>
      </c>
      <c r="C29" s="10">
        <f t="shared" si="12"/>
        <v>200</v>
      </c>
      <c r="D29" s="10">
        <f>(1+3*0.25)*C29</f>
        <v>350</v>
      </c>
      <c r="E29" s="13">
        <f>F29</f>
        <v>3.9929454246550797</v>
      </c>
      <c r="F29" s="13">
        <f>(C29/(1*1*PI()))^(1/3)</f>
        <v>3.9929454246550797</v>
      </c>
      <c r="G29" s="93">
        <f t="shared" ref="G29" si="25">G$19</f>
        <v>3</v>
      </c>
      <c r="H29" s="54">
        <f t="shared" si="8"/>
        <v>66.666666666666671</v>
      </c>
      <c r="I29" s="55">
        <f t="shared" si="9"/>
        <v>73.333333333333343</v>
      </c>
      <c r="J29" s="55">
        <f>((C29+3*0.25*0.25*C29)/G29)</f>
        <v>79.166666666666671</v>
      </c>
      <c r="K29" s="55">
        <f t="shared" si="24"/>
        <v>78.333333333333343</v>
      </c>
      <c r="L29" s="56">
        <f t="shared" si="11"/>
        <v>72.727272727272734</v>
      </c>
      <c r="M29" s="55">
        <f>((0.25*$C29*1.75)/$G29)</f>
        <v>29.166666666666668</v>
      </c>
      <c r="N29" s="55">
        <f>((0.5*C29*1.75)/G29)</f>
        <v>58.333333333333336</v>
      </c>
      <c r="O29" s="57">
        <f>(($C29*1.75)/$G29)</f>
        <v>116.66666666666667</v>
      </c>
    </row>
  </sheetData>
  <mergeCells count="13">
    <mergeCell ref="A26:A27"/>
    <mergeCell ref="A28:A29"/>
    <mergeCell ref="A14:A15"/>
    <mergeCell ref="A16:O16"/>
    <mergeCell ref="A18:A19"/>
    <mergeCell ref="A20:A21"/>
    <mergeCell ref="A22:A23"/>
    <mergeCell ref="A24:A25"/>
    <mergeCell ref="A12:A13"/>
    <mergeCell ref="A4:A5"/>
    <mergeCell ref="A6:A7"/>
    <mergeCell ref="A8:A9"/>
    <mergeCell ref="A10:A11"/>
  </mergeCells>
  <conditionalFormatting sqref="H4:O5">
    <cfRule type="colorScale" priority="18">
      <colorScale>
        <cfvo type="min"/>
        <cfvo type="max"/>
        <color theme="8" tint="0.79998168889431442"/>
        <color theme="8"/>
      </colorScale>
    </cfRule>
  </conditionalFormatting>
  <conditionalFormatting sqref="H6:O7">
    <cfRule type="colorScale" priority="17">
      <colorScale>
        <cfvo type="min"/>
        <cfvo type="max"/>
        <color theme="8" tint="0.79998168889431442"/>
        <color theme="8"/>
      </colorScale>
    </cfRule>
  </conditionalFormatting>
  <conditionalFormatting sqref="H8:O9">
    <cfRule type="colorScale" priority="16">
      <colorScale>
        <cfvo type="min"/>
        <cfvo type="max"/>
        <color theme="8" tint="0.79998168889431442"/>
        <color theme="8"/>
      </colorScale>
    </cfRule>
  </conditionalFormatting>
  <conditionalFormatting sqref="H10:O11">
    <cfRule type="colorScale" priority="15">
      <colorScale>
        <cfvo type="min"/>
        <cfvo type="max"/>
        <color theme="8" tint="0.79998168889431442"/>
        <color theme="8"/>
      </colorScale>
    </cfRule>
  </conditionalFormatting>
  <conditionalFormatting sqref="H12:O13">
    <cfRule type="colorScale" priority="14">
      <colorScale>
        <cfvo type="min"/>
        <cfvo type="max"/>
        <color theme="8" tint="0.79998168889431442"/>
        <color theme="8"/>
      </colorScale>
    </cfRule>
  </conditionalFormatting>
  <conditionalFormatting sqref="H14:O15">
    <cfRule type="colorScale" priority="13">
      <colorScale>
        <cfvo type="min"/>
        <cfvo type="max"/>
        <color theme="8" tint="0.79998168889431442"/>
        <color theme="8"/>
      </colorScale>
    </cfRule>
  </conditionalFormatting>
  <conditionalFormatting sqref="H18:O19">
    <cfRule type="colorScale" priority="12">
      <colorScale>
        <cfvo type="min"/>
        <cfvo type="max"/>
        <color theme="8" tint="0.79998168889431442"/>
        <color theme="8"/>
      </colorScale>
    </cfRule>
  </conditionalFormatting>
  <conditionalFormatting sqref="H20:O21">
    <cfRule type="colorScale" priority="11">
      <colorScale>
        <cfvo type="min"/>
        <cfvo type="max"/>
        <color theme="8" tint="0.79998168889431442"/>
        <color theme="8"/>
      </colorScale>
    </cfRule>
  </conditionalFormatting>
  <conditionalFormatting sqref="H22:O23">
    <cfRule type="colorScale" priority="10">
      <colorScale>
        <cfvo type="min"/>
        <cfvo type="max"/>
        <color theme="8" tint="0.79998168889431442"/>
        <color theme="8"/>
      </colorScale>
    </cfRule>
  </conditionalFormatting>
  <conditionalFormatting sqref="H24:O25">
    <cfRule type="colorScale" priority="9">
      <colorScale>
        <cfvo type="min"/>
        <cfvo type="max"/>
        <color theme="8" tint="0.79998168889431442"/>
        <color theme="8"/>
      </colorScale>
    </cfRule>
  </conditionalFormatting>
  <conditionalFormatting sqref="H26:O27">
    <cfRule type="colorScale" priority="8">
      <colorScale>
        <cfvo type="min"/>
        <cfvo type="max"/>
        <color theme="8" tint="0.79998168889431442"/>
        <color theme="8"/>
      </colorScale>
    </cfRule>
  </conditionalFormatting>
  <conditionalFormatting sqref="H28:O29">
    <cfRule type="colorScale" priority="7">
      <colorScale>
        <cfvo type="min"/>
        <cfvo type="max"/>
        <color theme="8" tint="0.79998168889431442"/>
        <color theme="8"/>
      </colorScale>
    </cfRule>
  </conditionalFormatting>
  <conditionalFormatting sqref="G18 G28 G20 G22 G24 G26">
    <cfRule type="cellIs" dxfId="25" priority="6" operator="greaterThan">
      <formula>F18</formula>
    </cfRule>
  </conditionalFormatting>
  <conditionalFormatting sqref="G19 G29 G21 G23 G25 G27">
    <cfRule type="cellIs" dxfId="24" priority="5" operator="greaterThan">
      <formula>F19</formula>
    </cfRule>
  </conditionalFormatting>
  <conditionalFormatting sqref="G4">
    <cfRule type="cellIs" dxfId="23" priority="4" operator="greaterThan">
      <formula>F4</formula>
    </cfRule>
  </conditionalFormatting>
  <conditionalFormatting sqref="G5">
    <cfRule type="cellIs" dxfId="22" priority="3" operator="greaterThan">
      <formula>F5</formula>
    </cfRule>
  </conditionalFormatting>
  <conditionalFormatting sqref="G6 G8 G10 G12 G14">
    <cfRule type="cellIs" dxfId="21" priority="2" operator="greaterThan">
      <formula>F6</formula>
    </cfRule>
  </conditionalFormatting>
  <conditionalFormatting sqref="G7 G9 G11 G13 G15">
    <cfRule type="cellIs" dxfId="20" priority="1" operator="greaterThan">
      <formula>F7</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9FB2-7C57-476F-94F7-76D360230FD4}">
  <sheetPr>
    <tabColor theme="5"/>
  </sheetPr>
  <dimension ref="A1:O31"/>
  <sheetViews>
    <sheetView workbookViewId="0">
      <selection activeCell="A23" sqref="A23"/>
    </sheetView>
  </sheetViews>
  <sheetFormatPr defaultColWidth="9.140625" defaultRowHeight="15" x14ac:dyDescent="0.25"/>
  <cols>
    <col min="1" max="1" width="20.140625" style="2" customWidth="1"/>
    <col min="2" max="2" width="9.140625" style="2" bestFit="1" customWidth="1"/>
    <col min="3" max="3" width="11.140625" style="2" bestFit="1" customWidth="1"/>
    <col min="4" max="4" width="9.5703125" style="2" bestFit="1" customWidth="1"/>
    <col min="5" max="5" width="16.140625" style="2" bestFit="1" customWidth="1"/>
    <col min="6" max="6" width="20.7109375" style="2" bestFit="1" customWidth="1"/>
    <col min="7" max="7" width="10.7109375" style="2" customWidth="1"/>
    <col min="8" max="8" width="11.140625" style="2" bestFit="1" customWidth="1"/>
    <col min="9" max="9" width="9.5703125" style="2" bestFit="1" customWidth="1"/>
    <col min="10" max="10" width="15.28515625" style="2" bestFit="1" customWidth="1"/>
    <col min="11" max="11" width="19.5703125" style="2" bestFit="1" customWidth="1"/>
    <col min="12" max="12" width="9.140625" style="2"/>
    <col min="13" max="13" width="10.5703125" style="2" bestFit="1" customWidth="1"/>
    <col min="14" max="14" width="9.140625" style="2"/>
    <col min="15" max="15" width="15.28515625" style="2" bestFit="1" customWidth="1"/>
    <col min="16" max="16384" width="9.140625" style="2"/>
  </cols>
  <sheetData>
    <row r="1" spans="1:15" x14ac:dyDescent="0.25">
      <c r="A1" s="102" t="s">
        <v>61</v>
      </c>
      <c r="B1" s="103" t="s">
        <v>17</v>
      </c>
      <c r="C1" s="103" t="s">
        <v>18</v>
      </c>
      <c r="D1" s="103" t="s">
        <v>19</v>
      </c>
      <c r="E1" s="103" t="s">
        <v>20</v>
      </c>
      <c r="F1" s="104" t="s">
        <v>62</v>
      </c>
      <c r="G1" s="189" t="s">
        <v>21</v>
      </c>
      <c r="H1" s="189"/>
      <c r="I1" s="189"/>
      <c r="J1" s="105" t="s">
        <v>63</v>
      </c>
    </row>
    <row r="2" spans="1:15" x14ac:dyDescent="0.25">
      <c r="A2" s="106" t="s">
        <v>64</v>
      </c>
      <c r="B2" s="107">
        <v>2.5</v>
      </c>
      <c r="C2" s="107">
        <v>1</v>
      </c>
      <c r="D2" s="107">
        <v>0.5</v>
      </c>
      <c r="E2" s="107">
        <v>0.25</v>
      </c>
      <c r="F2" s="108" t="s">
        <v>65</v>
      </c>
      <c r="G2" s="190">
        <v>0.05</v>
      </c>
      <c r="H2" s="190"/>
      <c r="I2" s="190"/>
      <c r="J2" s="109">
        <v>0.62</v>
      </c>
    </row>
    <row r="3" spans="1:15" x14ac:dyDescent="0.25">
      <c r="A3" s="106"/>
      <c r="B3" s="108"/>
      <c r="C3" s="108"/>
      <c r="D3" s="108"/>
      <c r="E3" s="108"/>
      <c r="F3" s="1" t="s">
        <v>66</v>
      </c>
      <c r="G3" s="190">
        <v>0.1</v>
      </c>
      <c r="H3" s="190"/>
      <c r="I3" s="190"/>
      <c r="J3" s="110"/>
    </row>
    <row r="4" spans="1:15" ht="15.75" thickBot="1" x14ac:dyDescent="0.3">
      <c r="A4" s="111"/>
      <c r="B4" s="112"/>
      <c r="C4" s="112"/>
      <c r="D4" s="112"/>
      <c r="E4" s="112"/>
      <c r="F4" s="113" t="s">
        <v>67</v>
      </c>
      <c r="G4" s="191">
        <v>0.4</v>
      </c>
      <c r="H4" s="191"/>
      <c r="I4" s="191"/>
      <c r="J4" s="114"/>
    </row>
    <row r="5" spans="1:15" ht="15.75" thickBot="1" x14ac:dyDescent="0.3">
      <c r="A5" s="115"/>
      <c r="B5" s="115"/>
      <c r="C5" s="115"/>
      <c r="D5" s="115"/>
      <c r="E5" s="115"/>
      <c r="F5" s="116"/>
      <c r="G5" s="117"/>
      <c r="H5" s="115"/>
      <c r="I5" s="115"/>
      <c r="J5" s="118"/>
    </row>
    <row r="6" spans="1:15" x14ac:dyDescent="0.25">
      <c r="A6" s="192" t="s">
        <v>68</v>
      </c>
      <c r="B6" s="193"/>
      <c r="C6" s="193"/>
      <c r="D6" s="193"/>
      <c r="E6" s="194"/>
      <c r="F6" s="192" t="s">
        <v>69</v>
      </c>
      <c r="G6" s="193"/>
      <c r="H6" s="193"/>
      <c r="I6" s="193"/>
      <c r="J6" s="194"/>
      <c r="K6" s="192" t="s">
        <v>70</v>
      </c>
      <c r="L6" s="193"/>
      <c r="M6" s="193"/>
      <c r="N6" s="193"/>
      <c r="O6" s="194"/>
    </row>
    <row r="7" spans="1:15" ht="28.15" customHeight="1" x14ac:dyDescent="0.25">
      <c r="A7" s="195" t="s">
        <v>71</v>
      </c>
      <c r="B7" s="196"/>
      <c r="C7" s="196"/>
      <c r="D7" s="196"/>
      <c r="E7" s="197"/>
      <c r="F7" s="195" t="s">
        <v>71</v>
      </c>
      <c r="G7" s="196"/>
      <c r="H7" s="196"/>
      <c r="I7" s="196"/>
      <c r="J7" s="197"/>
      <c r="K7" s="195" t="s">
        <v>71</v>
      </c>
      <c r="L7" s="196"/>
      <c r="M7" s="196"/>
      <c r="N7" s="196"/>
      <c r="O7" s="197"/>
    </row>
    <row r="8" spans="1:15" x14ac:dyDescent="0.25">
      <c r="A8" s="119"/>
      <c r="B8" s="120" t="s">
        <v>17</v>
      </c>
      <c r="C8" s="120" t="s">
        <v>18</v>
      </c>
      <c r="D8" s="120" t="s">
        <v>19</v>
      </c>
      <c r="E8" s="121" t="s">
        <v>20</v>
      </c>
      <c r="F8" s="119"/>
      <c r="G8" s="120" t="s">
        <v>17</v>
      </c>
      <c r="H8" s="120" t="s">
        <v>18</v>
      </c>
      <c r="I8" s="120" t="s">
        <v>19</v>
      </c>
      <c r="J8" s="121" t="s">
        <v>20</v>
      </c>
      <c r="K8" s="119"/>
      <c r="L8" s="120" t="s">
        <v>17</v>
      </c>
      <c r="M8" s="120" t="s">
        <v>18</v>
      </c>
      <c r="N8" s="120" t="s">
        <v>19</v>
      </c>
      <c r="O8" s="121" t="s">
        <v>20</v>
      </c>
    </row>
    <row r="9" spans="1:15" x14ac:dyDescent="0.25">
      <c r="A9" s="119" t="s">
        <v>65</v>
      </c>
      <c r="B9" s="122">
        <f t="shared" ref="B9:E11" si="0">(B$2*B$2*PI()/$G2)^0.5/2-(B$2)+$G2</f>
        <v>7.4583182440150262</v>
      </c>
      <c r="C9" s="122">
        <f t="shared" si="0"/>
        <v>3.0133272976060108</v>
      </c>
      <c r="D9" s="122">
        <f t="shared" si="0"/>
        <v>1.5316636488030055</v>
      </c>
      <c r="E9" s="123">
        <f t="shared" si="0"/>
        <v>0.79083182440150279</v>
      </c>
      <c r="F9" s="119" t="s">
        <v>65</v>
      </c>
      <c r="G9" s="122">
        <f t="shared" ref="G9:J11" si="1">((B$2*B$2*PI()/$G2)^0.5/2)-(B$2)</f>
        <v>7.4083182440150264</v>
      </c>
      <c r="H9" s="122">
        <f t="shared" si="1"/>
        <v>2.963327297606011</v>
      </c>
      <c r="I9" s="122">
        <f t="shared" si="1"/>
        <v>1.4816636488030055</v>
      </c>
      <c r="J9" s="123">
        <f t="shared" si="1"/>
        <v>0.74083182440150275</v>
      </c>
      <c r="K9" s="119" t="s">
        <v>65</v>
      </c>
      <c r="L9" s="122">
        <f>(2*B$2+2*G9)^2/(2*B$2+2*$G$9)^2</f>
        <v>1</v>
      </c>
      <c r="M9" s="122">
        <f>(2*C$2+2*H9)^2/(2*C$2+2*$H$9)^2</f>
        <v>1</v>
      </c>
      <c r="N9" s="122">
        <f>(2*D$2+2*I9)^2/(2*D$2+2*$I$9)^2</f>
        <v>1</v>
      </c>
      <c r="O9" s="123">
        <f>(2*E$2+2*J9)^2/(2*E$2+2*$J$9)^2</f>
        <v>1</v>
      </c>
    </row>
    <row r="10" spans="1:15" x14ac:dyDescent="0.25">
      <c r="A10" s="124" t="s">
        <v>66</v>
      </c>
      <c r="B10" s="122">
        <f t="shared" si="0"/>
        <v>4.6062390204974104</v>
      </c>
      <c r="C10" s="122">
        <f t="shared" si="0"/>
        <v>1.9024956081989646</v>
      </c>
      <c r="D10" s="122">
        <f t="shared" si="0"/>
        <v>1.0012478040994823</v>
      </c>
      <c r="E10" s="123">
        <f t="shared" si="0"/>
        <v>0.5506239020497411</v>
      </c>
      <c r="F10" s="124" t="s">
        <v>66</v>
      </c>
      <c r="G10" s="122">
        <f t="shared" si="1"/>
        <v>4.5062390204974108</v>
      </c>
      <c r="H10" s="122">
        <f t="shared" si="1"/>
        <v>1.8024956081989645</v>
      </c>
      <c r="I10" s="122">
        <f t="shared" si="1"/>
        <v>0.90124780409948224</v>
      </c>
      <c r="J10" s="123">
        <f t="shared" si="1"/>
        <v>0.45062390204974112</v>
      </c>
      <c r="K10" s="124" t="s">
        <v>66</v>
      </c>
      <c r="L10" s="122">
        <f>(2*B$2+2*G10)^2/(2*B$2+2*$G$10)^2</f>
        <v>1</v>
      </c>
      <c r="M10" s="122">
        <f>(2*C$2+2*H10)^2/(2*C$2+2*$H$10)^2</f>
        <v>1</v>
      </c>
      <c r="N10" s="122">
        <f>(2*D$2+2*I10)^2/(2*D$2+2*$I$10)^2</f>
        <v>1</v>
      </c>
      <c r="O10" s="123">
        <f>(2*E$2+2*J10)^2/(2*E$2+2*$J$10)^2</f>
        <v>1</v>
      </c>
    </row>
    <row r="11" spans="1:15" x14ac:dyDescent="0.25">
      <c r="A11" s="124" t="s">
        <v>67</v>
      </c>
      <c r="B11" s="122">
        <f t="shared" si="0"/>
        <v>1.4031195102487053</v>
      </c>
      <c r="C11" s="122">
        <f t="shared" si="0"/>
        <v>0.80124780409948226</v>
      </c>
      <c r="D11" s="122">
        <f t="shared" si="0"/>
        <v>0.60062390204974114</v>
      </c>
      <c r="E11" s="123">
        <f t="shared" si="0"/>
        <v>0.50031195102487058</v>
      </c>
      <c r="F11" s="124" t="s">
        <v>67</v>
      </c>
      <c r="G11" s="122">
        <f t="shared" si="1"/>
        <v>1.0031195102487054</v>
      </c>
      <c r="H11" s="122">
        <f t="shared" si="1"/>
        <v>0.40124780409948224</v>
      </c>
      <c r="I11" s="122">
        <f t="shared" si="1"/>
        <v>0.20062390204974112</v>
      </c>
      <c r="J11" s="123">
        <f t="shared" si="1"/>
        <v>0.10031195102487056</v>
      </c>
      <c r="K11" s="124" t="s">
        <v>67</v>
      </c>
      <c r="L11" s="122">
        <f>(2*B$2+2*G11)^2/(2*B$2+2*$G$11)^2</f>
        <v>1</v>
      </c>
      <c r="M11" s="122">
        <f>(2*C$2+2*H11)^2/(2*C$2+2*$H$11)^2</f>
        <v>1</v>
      </c>
      <c r="N11" s="122">
        <f>(2*D$2+2*I11)^2/(2*D$2+2*$I$11)^2</f>
        <v>1</v>
      </c>
      <c r="O11" s="123">
        <f>(2*E$2+2*J11)^2/(2*E$2+2*$J$11)^2</f>
        <v>1</v>
      </c>
    </row>
    <row r="12" spans="1:15" ht="27.6" customHeight="1" x14ac:dyDescent="0.25">
      <c r="A12" s="195" t="s">
        <v>72</v>
      </c>
      <c r="B12" s="196"/>
      <c r="C12" s="196"/>
      <c r="D12" s="196"/>
      <c r="E12" s="197"/>
      <c r="F12" s="195" t="s">
        <v>72</v>
      </c>
      <c r="G12" s="196"/>
      <c r="H12" s="196"/>
      <c r="I12" s="196"/>
      <c r="J12" s="197"/>
      <c r="K12" s="195" t="s">
        <v>72</v>
      </c>
      <c r="L12" s="196"/>
      <c r="M12" s="196"/>
      <c r="N12" s="196"/>
      <c r="O12" s="197"/>
    </row>
    <row r="13" spans="1:15" x14ac:dyDescent="0.25">
      <c r="A13" s="119"/>
      <c r="B13" s="120" t="s">
        <v>17</v>
      </c>
      <c r="C13" s="120" t="s">
        <v>18</v>
      </c>
      <c r="D13" s="120" t="s">
        <v>19</v>
      </c>
      <c r="E13" s="121" t="s">
        <v>20</v>
      </c>
      <c r="F13" s="119"/>
      <c r="G13" s="120" t="s">
        <v>17</v>
      </c>
      <c r="H13" s="120" t="s">
        <v>18</v>
      </c>
      <c r="I13" s="120" t="s">
        <v>19</v>
      </c>
      <c r="J13" s="121" t="s">
        <v>20</v>
      </c>
      <c r="K13" s="119"/>
      <c r="L13" s="120" t="s">
        <v>17</v>
      </c>
      <c r="M13" s="120" t="s">
        <v>18</v>
      </c>
      <c r="N13" s="120" t="s">
        <v>19</v>
      </c>
      <c r="O13" s="121" t="s">
        <v>20</v>
      </c>
    </row>
    <row r="14" spans="1:15" x14ac:dyDescent="0.25">
      <c r="A14" s="119" t="s">
        <v>65</v>
      </c>
      <c r="B14" s="122">
        <f t="shared" ref="B14:E16" si="2">(B$2*B$2*PI()*1.1/$G2)^0.5/2-(B$2)+$G2</f>
        <v>7.9419318448086988</v>
      </c>
      <c r="C14" s="122">
        <f t="shared" si="2"/>
        <v>3.2067727379234796</v>
      </c>
      <c r="D14" s="122">
        <f t="shared" si="2"/>
        <v>1.6283863689617399</v>
      </c>
      <c r="E14" s="123">
        <f t="shared" si="2"/>
        <v>0.83919318448086999</v>
      </c>
      <c r="F14" s="119" t="s">
        <v>65</v>
      </c>
      <c r="G14" s="122">
        <f t="shared" ref="G14:J16" si="3">((B$2*B$2*PI()*1.1/$G2)^0.5/2)-(B$2)</f>
        <v>7.891931844808699</v>
      </c>
      <c r="H14" s="122">
        <f t="shared" si="3"/>
        <v>3.1567727379234798</v>
      </c>
      <c r="I14" s="122">
        <f t="shared" si="3"/>
        <v>1.5783863689617399</v>
      </c>
      <c r="J14" s="123">
        <f t="shared" si="3"/>
        <v>0.78919318448086995</v>
      </c>
      <c r="K14" s="119" t="s">
        <v>65</v>
      </c>
      <c r="L14" s="122">
        <f>(2*B$2+2*G14)^2/(2*B$2+2*$G$9)^2</f>
        <v>1.1000000000000001</v>
      </c>
      <c r="M14" s="122">
        <f>(2*C$2+2*H14)^2/(2*C$2+2*$H$9)^2</f>
        <v>1.1000000000000001</v>
      </c>
      <c r="N14" s="122">
        <f>(2*D$2+2*I14)^2/(2*D$2+2*$I$9)^2</f>
        <v>1.1000000000000001</v>
      </c>
      <c r="O14" s="123">
        <f>(2*E$2+2*J14)^2/(2*E$2+2*$J$9)^2</f>
        <v>1.1000000000000001</v>
      </c>
    </row>
    <row r="15" spans="1:15" x14ac:dyDescent="0.25">
      <c r="A15" s="124" t="s">
        <v>66</v>
      </c>
      <c r="B15" s="122">
        <f t="shared" si="2"/>
        <v>4.9482054770926602</v>
      </c>
      <c r="C15" s="122">
        <f t="shared" si="2"/>
        <v>2.0392821908370644</v>
      </c>
      <c r="D15" s="122">
        <f t="shared" si="2"/>
        <v>1.0696410954185323</v>
      </c>
      <c r="E15" s="123">
        <f t="shared" si="2"/>
        <v>0.58482054770926606</v>
      </c>
      <c r="F15" s="124" t="s">
        <v>66</v>
      </c>
      <c r="G15" s="122">
        <f t="shared" si="3"/>
        <v>4.8482054770926606</v>
      </c>
      <c r="H15" s="122">
        <f t="shared" si="3"/>
        <v>1.9392821908370643</v>
      </c>
      <c r="I15" s="122">
        <f t="shared" si="3"/>
        <v>0.96964109541853216</v>
      </c>
      <c r="J15" s="123">
        <f t="shared" si="3"/>
        <v>0.48482054770926608</v>
      </c>
      <c r="K15" s="124" t="s">
        <v>66</v>
      </c>
      <c r="L15" s="122">
        <f>(2*B$2+2*G15)^2/(2*B$2+2*$G$10)^2</f>
        <v>1.1000000000000003</v>
      </c>
      <c r="M15" s="122">
        <f>(2*C$2+2*H15)^2/(2*C$2+2*$H$10)^2</f>
        <v>1.1000000000000001</v>
      </c>
      <c r="N15" s="122">
        <f>(2*D$2+2*I15)^2/(2*D$2+2*$I$10)^2</f>
        <v>1.1000000000000001</v>
      </c>
      <c r="O15" s="123">
        <f>(2*E$2+2*J15)^2/(2*E$2+2*$J$10)^2</f>
        <v>1.1000000000000001</v>
      </c>
    </row>
    <row r="16" spans="1:15" x14ac:dyDescent="0.25">
      <c r="A16" s="124" t="s">
        <v>67</v>
      </c>
      <c r="B16" s="122">
        <f t="shared" si="2"/>
        <v>1.5741027385463302</v>
      </c>
      <c r="C16" s="122">
        <f t="shared" si="2"/>
        <v>0.86964109541853218</v>
      </c>
      <c r="D16" s="122">
        <f t="shared" si="2"/>
        <v>0.6348205477092661</v>
      </c>
      <c r="E16" s="123">
        <f t="shared" si="2"/>
        <v>0.51741027385463312</v>
      </c>
      <c r="F16" s="124" t="s">
        <v>67</v>
      </c>
      <c r="G16" s="122">
        <f t="shared" si="3"/>
        <v>1.1741027385463303</v>
      </c>
      <c r="H16" s="122">
        <f t="shared" si="3"/>
        <v>0.46964109541853216</v>
      </c>
      <c r="I16" s="122">
        <f t="shared" si="3"/>
        <v>0.23482054770926608</v>
      </c>
      <c r="J16" s="123">
        <f t="shared" si="3"/>
        <v>0.11741027385463304</v>
      </c>
      <c r="K16" s="124" t="s">
        <v>67</v>
      </c>
      <c r="L16" s="122">
        <f>(2*B$2+2*G16)^2/(2*B$2+2*$G$11)^2</f>
        <v>1.1000000000000003</v>
      </c>
      <c r="M16" s="122">
        <f>(2*C$2+2*H16)^2/(2*C$2+2*$H$11)^2</f>
        <v>1.1000000000000001</v>
      </c>
      <c r="N16" s="122">
        <f>(2*D$2+2*I16)^2/(2*D$2+2*$I$11)^2</f>
        <v>1.1000000000000001</v>
      </c>
      <c r="O16" s="123">
        <f>(2*E$2+2*J16)^2/(2*E$2+2*$J$11)^2</f>
        <v>1.1000000000000001</v>
      </c>
    </row>
    <row r="17" spans="1:15" ht="30" customHeight="1" x14ac:dyDescent="0.25">
      <c r="A17" s="198" t="s">
        <v>73</v>
      </c>
      <c r="B17" s="199"/>
      <c r="C17" s="199"/>
      <c r="D17" s="199"/>
      <c r="E17" s="200"/>
      <c r="F17" s="195" t="s">
        <v>73</v>
      </c>
      <c r="G17" s="196"/>
      <c r="H17" s="196"/>
      <c r="I17" s="196"/>
      <c r="J17" s="197"/>
      <c r="K17" s="195" t="s">
        <v>73</v>
      </c>
      <c r="L17" s="196"/>
      <c r="M17" s="196"/>
      <c r="N17" s="196"/>
      <c r="O17" s="197"/>
    </row>
    <row r="18" spans="1:15" x14ac:dyDescent="0.25">
      <c r="A18" s="119"/>
      <c r="B18" s="120" t="s">
        <v>17</v>
      </c>
      <c r="C18" s="120" t="s">
        <v>18</v>
      </c>
      <c r="D18" s="120" t="s">
        <v>19</v>
      </c>
      <c r="E18" s="121" t="s">
        <v>20</v>
      </c>
      <c r="F18" s="119"/>
      <c r="G18" s="120" t="s">
        <v>17</v>
      </c>
      <c r="H18" s="120" t="s">
        <v>18</v>
      </c>
      <c r="I18" s="120" t="s">
        <v>19</v>
      </c>
      <c r="J18" s="121" t="s">
        <v>20</v>
      </c>
      <c r="K18" s="119"/>
      <c r="L18" s="120" t="s">
        <v>17</v>
      </c>
      <c r="M18" s="120" t="s">
        <v>18</v>
      </c>
      <c r="N18" s="120" t="s">
        <v>19</v>
      </c>
      <c r="O18" s="121" t="s">
        <v>20</v>
      </c>
    </row>
    <row r="19" spans="1:15" x14ac:dyDescent="0.25">
      <c r="A19" s="119" t="s">
        <v>65</v>
      </c>
      <c r="B19" s="122">
        <f t="shared" ref="B19:E21" si="4">MAX($G2+0.5,(SQRT(B$2*B$2*PI()/$G2)/2)-(B$2)+$G2)</f>
        <v>7.4583182440150262</v>
      </c>
      <c r="C19" s="122">
        <f t="shared" si="4"/>
        <v>3.0133272976060108</v>
      </c>
      <c r="D19" s="122">
        <f t="shared" si="4"/>
        <v>1.5316636488030055</v>
      </c>
      <c r="E19" s="123">
        <f t="shared" si="4"/>
        <v>0.79083182440150279</v>
      </c>
      <c r="F19" s="119" t="s">
        <v>65</v>
      </c>
      <c r="G19" s="122">
        <f>MAX(0.5,(SQRT(B$2*B$2*PI()/$G2)/2)-(B$2))</f>
        <v>7.4083182440150264</v>
      </c>
      <c r="H19" s="122">
        <f t="shared" ref="G19:J21" si="5">MAX(0.5,(SQRT(C$2*C$2*PI()/$G2)/2)-(C$2))</f>
        <v>2.963327297606011</v>
      </c>
      <c r="I19" s="122">
        <f t="shared" si="5"/>
        <v>1.4816636488030055</v>
      </c>
      <c r="J19" s="123">
        <f t="shared" si="5"/>
        <v>0.74083182440150275</v>
      </c>
      <c r="K19" s="119" t="s">
        <v>65</v>
      </c>
      <c r="L19" s="122">
        <f>(2*B$2+2*G19)^2/(2*B$2+2*$G$9)^2</f>
        <v>1</v>
      </c>
      <c r="M19" s="122">
        <f>(2*C$2+2*H19)^2/(2*C$2+2*$H$9)^2</f>
        <v>1</v>
      </c>
      <c r="N19" s="122">
        <f>(2*D$2+2*I19)^2/(2*D$2+2*$I$9)^2</f>
        <v>1</v>
      </c>
      <c r="O19" s="123">
        <f>(2*E$2+2*J19)^2/(2*E$2+2*$J$9)^2</f>
        <v>1</v>
      </c>
    </row>
    <row r="20" spans="1:15" x14ac:dyDescent="0.25">
      <c r="A20" s="124" t="s">
        <v>66</v>
      </c>
      <c r="B20" s="122">
        <f t="shared" si="4"/>
        <v>4.6062390204974104</v>
      </c>
      <c r="C20" s="122">
        <f t="shared" si="4"/>
        <v>1.9024956081989646</v>
      </c>
      <c r="D20" s="122">
        <f t="shared" si="4"/>
        <v>1.0012478040994823</v>
      </c>
      <c r="E20" s="123">
        <f t="shared" si="4"/>
        <v>0.6</v>
      </c>
      <c r="F20" s="124" t="s">
        <v>66</v>
      </c>
      <c r="G20" s="122">
        <f t="shared" si="5"/>
        <v>4.5062390204974108</v>
      </c>
      <c r="H20" s="122">
        <f t="shared" si="5"/>
        <v>1.8024956081989645</v>
      </c>
      <c r="I20" s="122">
        <f t="shared" si="5"/>
        <v>0.90124780409948224</v>
      </c>
      <c r="J20" s="123">
        <f t="shared" si="5"/>
        <v>0.5</v>
      </c>
      <c r="K20" s="124" t="s">
        <v>66</v>
      </c>
      <c r="L20" s="122">
        <f>(2*B$2+2*G20)^2/(2*B$2+2*$G$10)^2</f>
        <v>1</v>
      </c>
      <c r="M20" s="122">
        <f>(2*C$2+2*H20)^2/(2*C$2+2*$H$10)^2</f>
        <v>1</v>
      </c>
      <c r="N20" s="122">
        <f>(2*D$2+2*I20)^2/(2*D$2+2*$I$10)^2</f>
        <v>1</v>
      </c>
      <c r="O20" s="123">
        <f>(2*E$2+2*J20)^2/(2*E$2+2*$J$10)^2</f>
        <v>1.1459155902616462</v>
      </c>
    </row>
    <row r="21" spans="1:15" x14ac:dyDescent="0.25">
      <c r="A21" s="124" t="s">
        <v>67</v>
      </c>
      <c r="B21" s="122">
        <f t="shared" si="4"/>
        <v>1.4031195102487053</v>
      </c>
      <c r="C21" s="122">
        <f t="shared" si="4"/>
        <v>0.9</v>
      </c>
      <c r="D21" s="122">
        <f t="shared" si="4"/>
        <v>0.9</v>
      </c>
      <c r="E21" s="123">
        <f t="shared" si="4"/>
        <v>0.9</v>
      </c>
      <c r="F21" s="124" t="s">
        <v>67</v>
      </c>
      <c r="G21" s="122">
        <f t="shared" si="5"/>
        <v>1.0031195102487054</v>
      </c>
      <c r="H21" s="122">
        <f t="shared" si="5"/>
        <v>0.5</v>
      </c>
      <c r="I21" s="122">
        <f t="shared" si="5"/>
        <v>0.5</v>
      </c>
      <c r="J21" s="123">
        <f t="shared" si="5"/>
        <v>0.5</v>
      </c>
      <c r="K21" s="124" t="s">
        <v>67</v>
      </c>
      <c r="L21" s="122">
        <f>(2*B$2+2*G21)^2/(2*B$2+2*$G$11)^2</f>
        <v>1</v>
      </c>
      <c r="M21" s="122">
        <f>(2*C$2+2*H21)^2/(2*C$2+2*$H$11)^2</f>
        <v>1.1459155902616462</v>
      </c>
      <c r="N21" s="122">
        <f>(2*D$2+2*I21)^2/(2*D$2+2*$I$11)^2</f>
        <v>2.0371832715762603</v>
      </c>
      <c r="O21" s="123">
        <f>(2*E$2+2*J21)^2/(2*E$2+2*$J$11)^2</f>
        <v>4.583662361046585</v>
      </c>
    </row>
    <row r="22" spans="1:15" ht="28.15" customHeight="1" x14ac:dyDescent="0.25">
      <c r="A22" s="198" t="s">
        <v>118</v>
      </c>
      <c r="B22" s="199"/>
      <c r="C22" s="199"/>
      <c r="D22" s="199"/>
      <c r="E22" s="200"/>
      <c r="F22" s="198" t="s">
        <v>118</v>
      </c>
      <c r="G22" s="199"/>
      <c r="H22" s="199"/>
      <c r="I22" s="199"/>
      <c r="J22" s="200"/>
      <c r="K22" s="198" t="s">
        <v>118</v>
      </c>
      <c r="L22" s="199"/>
      <c r="M22" s="199"/>
      <c r="N22" s="199"/>
      <c r="O22" s="200"/>
    </row>
    <row r="23" spans="1:15" x14ac:dyDescent="0.25">
      <c r="A23" s="119"/>
      <c r="B23" s="120" t="s">
        <v>17</v>
      </c>
      <c r="C23" s="120" t="s">
        <v>18</v>
      </c>
      <c r="D23" s="120" t="s">
        <v>19</v>
      </c>
      <c r="E23" s="121" t="s">
        <v>20</v>
      </c>
      <c r="F23" s="125"/>
      <c r="G23" s="120" t="s">
        <v>17</v>
      </c>
      <c r="H23" s="120" t="s">
        <v>18</v>
      </c>
      <c r="I23" s="120" t="s">
        <v>19</v>
      </c>
      <c r="J23" s="121" t="s">
        <v>20</v>
      </c>
      <c r="K23" s="125"/>
      <c r="L23" s="120" t="s">
        <v>17</v>
      </c>
      <c r="M23" s="120" t="s">
        <v>18</v>
      </c>
      <c r="N23" s="120" t="s">
        <v>19</v>
      </c>
      <c r="O23" s="121" t="s">
        <v>20</v>
      </c>
    </row>
    <row r="24" spans="1:15" x14ac:dyDescent="0.25">
      <c r="A24" s="119" t="s">
        <v>65</v>
      </c>
      <c r="B24" s="122">
        <f t="shared" ref="B24:E26" si="6">MAX($J$2*1,SQRT(B$2*B$2*PI()/$G2)/2-(B$2)+$G2)</f>
        <v>7.4583182440150262</v>
      </c>
      <c r="C24" s="122">
        <f t="shared" si="6"/>
        <v>3.0133272976060108</v>
      </c>
      <c r="D24" s="122">
        <f t="shared" si="6"/>
        <v>1.5316636488030055</v>
      </c>
      <c r="E24" s="123">
        <f t="shared" si="6"/>
        <v>0.79083182440150279</v>
      </c>
      <c r="F24" s="119" t="s">
        <v>65</v>
      </c>
      <c r="G24" s="122">
        <f t="shared" ref="G24:J26" si="7">B24-$G2</f>
        <v>7.4083182440150264</v>
      </c>
      <c r="H24" s="122">
        <f t="shared" si="7"/>
        <v>2.963327297606011</v>
      </c>
      <c r="I24" s="122">
        <f t="shared" si="7"/>
        <v>1.4816636488030055</v>
      </c>
      <c r="J24" s="123">
        <f t="shared" si="7"/>
        <v>0.74083182440150275</v>
      </c>
      <c r="K24" s="119" t="s">
        <v>65</v>
      </c>
      <c r="L24" s="122">
        <f>(2*B$2+2*G24)^2/(2*B$2+2*$G$9)^2</f>
        <v>1</v>
      </c>
      <c r="M24" s="122">
        <f>(2*C$2+2*H24)^2/(2*C$2+2*$H$9)^2</f>
        <v>1</v>
      </c>
      <c r="N24" s="122">
        <f>(2*D$2+2*I24)^2/(2*D$2+2*$I$9)^2</f>
        <v>1</v>
      </c>
      <c r="O24" s="123">
        <f>(2*E$2+2*J24)^2/(2*E$2+2*$J$9)^2</f>
        <v>1</v>
      </c>
    </row>
    <row r="25" spans="1:15" x14ac:dyDescent="0.25">
      <c r="A25" s="124" t="s">
        <v>66</v>
      </c>
      <c r="B25" s="122">
        <f t="shared" si="6"/>
        <v>4.6062390204974104</v>
      </c>
      <c r="C25" s="122">
        <f t="shared" si="6"/>
        <v>1.9024956081989646</v>
      </c>
      <c r="D25" s="122">
        <f t="shared" si="6"/>
        <v>1.0012478040994823</v>
      </c>
      <c r="E25" s="123">
        <f>MAX($J$2*1,SQRT(E$2*E$2*PI()/$G3)/2-(E$2)+$G3)</f>
        <v>0.62</v>
      </c>
      <c r="F25" s="124" t="s">
        <v>66</v>
      </c>
      <c r="G25" s="122">
        <f t="shared" si="7"/>
        <v>4.5062390204974108</v>
      </c>
      <c r="H25" s="122">
        <f t="shared" si="7"/>
        <v>1.8024956081989645</v>
      </c>
      <c r="I25" s="122">
        <f t="shared" si="7"/>
        <v>0.90124780409948235</v>
      </c>
      <c r="J25" s="123">
        <f t="shared" si="7"/>
        <v>0.52</v>
      </c>
      <c r="K25" s="124" t="s">
        <v>66</v>
      </c>
      <c r="L25" s="122">
        <f>(2*B$2+2*G25)^2/(2*B$2+2*$G$10)^2</f>
        <v>1</v>
      </c>
      <c r="M25" s="122">
        <f>(2*C$2+2*H25)^2/(2*C$2+2*$H$10)^2</f>
        <v>1</v>
      </c>
      <c r="N25" s="122">
        <f>(2*D$2+2*I25)^2/(2*D$2+2*$I$10)^2</f>
        <v>1</v>
      </c>
      <c r="O25" s="123">
        <f>(2*E$2+2*J25)^2/(2*E$2+2*$J$10)^2</f>
        <v>1.2078459617175645</v>
      </c>
    </row>
    <row r="26" spans="1:15" ht="15.75" thickBot="1" x14ac:dyDescent="0.3">
      <c r="A26" s="126" t="s">
        <v>67</v>
      </c>
      <c r="B26" s="127">
        <f t="shared" si="6"/>
        <v>1.4031195102487053</v>
      </c>
      <c r="C26" s="127">
        <f t="shared" si="6"/>
        <v>0.80124780409948226</v>
      </c>
      <c r="D26" s="127">
        <f t="shared" si="6"/>
        <v>0.62</v>
      </c>
      <c r="E26" s="128">
        <f t="shared" si="6"/>
        <v>0.62</v>
      </c>
      <c r="F26" s="126" t="s">
        <v>67</v>
      </c>
      <c r="G26" s="127">
        <f t="shared" si="7"/>
        <v>1.0031195102487054</v>
      </c>
      <c r="H26" s="127">
        <f t="shared" si="7"/>
        <v>0.40124780409948224</v>
      </c>
      <c r="I26" s="127">
        <f t="shared" si="7"/>
        <v>0.21999999999999997</v>
      </c>
      <c r="J26" s="128">
        <f t="shared" si="7"/>
        <v>0.21999999999999997</v>
      </c>
      <c r="K26" s="126" t="s">
        <v>67</v>
      </c>
      <c r="L26" s="127">
        <f>(2*B$2+2*G26)^2/(2*B$2+2*$G$11)^2</f>
        <v>1</v>
      </c>
      <c r="M26" s="127">
        <f>(2*C$2+2*H26)^2/(2*C$2+2*$H$11)^2</f>
        <v>1</v>
      </c>
      <c r="N26" s="127">
        <f>(2*D$2+2*I26)^2/(2*D$2+2*$I$11)^2</f>
        <v>1.0560758079851331</v>
      </c>
      <c r="O26" s="128">
        <f>(2*E$2+2*J26)^2/(2*E$2+2*$J$11)^2</f>
        <v>1.8000551387647834</v>
      </c>
    </row>
    <row r="27" spans="1:15" ht="29.45" customHeight="1" x14ac:dyDescent="0.25">
      <c r="A27" s="198" t="s">
        <v>74</v>
      </c>
      <c r="B27" s="199"/>
      <c r="C27" s="199"/>
      <c r="D27" s="199"/>
      <c r="E27" s="200"/>
      <c r="F27" s="198" t="s">
        <v>74</v>
      </c>
      <c r="G27" s="199"/>
      <c r="H27" s="199"/>
      <c r="I27" s="199"/>
      <c r="J27" s="200"/>
      <c r="K27" s="198" t="s">
        <v>74</v>
      </c>
      <c r="L27" s="199"/>
      <c r="M27" s="199"/>
      <c r="N27" s="199"/>
      <c r="O27" s="200"/>
    </row>
    <row r="28" spans="1:15" x14ac:dyDescent="0.25">
      <c r="A28" s="119"/>
      <c r="B28" s="120" t="s">
        <v>17</v>
      </c>
      <c r="C28" s="120" t="s">
        <v>18</v>
      </c>
      <c r="D28" s="120" t="s">
        <v>19</v>
      </c>
      <c r="E28" s="121" t="s">
        <v>20</v>
      </c>
      <c r="F28" s="119"/>
      <c r="G28" s="120" t="s">
        <v>17</v>
      </c>
      <c r="H28" s="120" t="s">
        <v>18</v>
      </c>
      <c r="I28" s="120" t="s">
        <v>19</v>
      </c>
      <c r="J28" s="121" t="s">
        <v>20</v>
      </c>
      <c r="L28" s="120" t="s">
        <v>17</v>
      </c>
      <c r="M28" s="120" t="s">
        <v>18</v>
      </c>
      <c r="N28" s="120" t="s">
        <v>19</v>
      </c>
      <c r="O28" s="121" t="s">
        <v>20</v>
      </c>
    </row>
    <row r="29" spans="1:15" x14ac:dyDescent="0.25">
      <c r="A29" s="119" t="s">
        <v>65</v>
      </c>
      <c r="B29" s="122">
        <f t="shared" ref="B29:E31" si="8">G29+$G2</f>
        <v>7.4583182440150262</v>
      </c>
      <c r="C29" s="122">
        <f t="shared" si="8"/>
        <v>3.0133272976060108</v>
      </c>
      <c r="D29" s="122">
        <f t="shared" si="8"/>
        <v>1.5316636488030055</v>
      </c>
      <c r="E29" s="123">
        <f t="shared" si="8"/>
        <v>0.79083182440150279</v>
      </c>
      <c r="F29" s="125" t="s">
        <v>65</v>
      </c>
      <c r="G29" s="122">
        <f t="shared" ref="G29:J31" si="9">MAX(B$2,(SQRT(B$2*B$2*PI()/$G2)/2)-(B$2))</f>
        <v>7.4083182440150264</v>
      </c>
      <c r="H29" s="122">
        <f t="shared" si="9"/>
        <v>2.963327297606011</v>
      </c>
      <c r="I29" s="122">
        <f t="shared" si="9"/>
        <v>1.4816636488030055</v>
      </c>
      <c r="J29" s="123">
        <f t="shared" si="9"/>
        <v>0.74083182440150275</v>
      </c>
      <c r="K29" s="125" t="s">
        <v>65</v>
      </c>
      <c r="L29" s="122">
        <f>(2*B$2+2*G29)^2/(2*B$2+2*$G$9)^2</f>
        <v>1</v>
      </c>
      <c r="M29" s="122">
        <f>(2*C$2+2*H29)^2/(2*C$2+2*$H$9)^2</f>
        <v>1</v>
      </c>
      <c r="N29" s="122">
        <f>(2*D$2+2*I29)^2/(2*D$2+2*$I$9)^2</f>
        <v>1</v>
      </c>
      <c r="O29" s="123">
        <f>(2*E$2+2*J29)^2/(2*E$2+2*$J$9)^2</f>
        <v>1</v>
      </c>
    </row>
    <row r="30" spans="1:15" x14ac:dyDescent="0.25">
      <c r="A30" s="119" t="s">
        <v>66</v>
      </c>
      <c r="B30" s="122">
        <f t="shared" si="8"/>
        <v>4.6062390204974104</v>
      </c>
      <c r="C30" s="122">
        <f t="shared" si="8"/>
        <v>1.9024956081989646</v>
      </c>
      <c r="D30" s="122">
        <f t="shared" si="8"/>
        <v>1.0012478040994823</v>
      </c>
      <c r="E30" s="123">
        <f t="shared" si="8"/>
        <v>0.5506239020497411</v>
      </c>
      <c r="F30" s="119" t="s">
        <v>66</v>
      </c>
      <c r="G30" s="122">
        <f t="shared" si="9"/>
        <v>4.5062390204974108</v>
      </c>
      <c r="H30" s="122">
        <f t="shared" si="9"/>
        <v>1.8024956081989645</v>
      </c>
      <c r="I30" s="122">
        <f t="shared" si="9"/>
        <v>0.90124780409948224</v>
      </c>
      <c r="J30" s="123">
        <f t="shared" si="9"/>
        <v>0.45062390204974112</v>
      </c>
      <c r="K30" s="119" t="s">
        <v>66</v>
      </c>
      <c r="L30" s="122">
        <f>(2*B$2+2*G30)^2/(2*B$2+2*$G$10)^2</f>
        <v>1</v>
      </c>
      <c r="M30" s="122">
        <f>(2*C$2+2*H30)^2/(2*C$2+2*$H$10)^2</f>
        <v>1</v>
      </c>
      <c r="N30" s="122">
        <f>(2*D$2+2*I30)^2/(2*D$2+2*$I$10)^2</f>
        <v>1</v>
      </c>
      <c r="O30" s="123">
        <f>(2*E$2+2*J30)^2/(2*E$2+2*$J$10)^2</f>
        <v>1</v>
      </c>
    </row>
    <row r="31" spans="1:15" x14ac:dyDescent="0.25">
      <c r="A31" s="124" t="s">
        <v>67</v>
      </c>
      <c r="B31" s="122">
        <f t="shared" si="8"/>
        <v>2.9</v>
      </c>
      <c r="C31" s="122">
        <f t="shared" si="8"/>
        <v>1.4</v>
      </c>
      <c r="D31" s="122">
        <f t="shared" si="8"/>
        <v>0.9</v>
      </c>
      <c r="E31" s="123">
        <f t="shared" si="8"/>
        <v>0.65</v>
      </c>
      <c r="F31" s="124" t="s">
        <v>67</v>
      </c>
      <c r="G31" s="122">
        <f t="shared" si="9"/>
        <v>2.5</v>
      </c>
      <c r="H31" s="122">
        <f t="shared" si="9"/>
        <v>1</v>
      </c>
      <c r="I31" s="122">
        <f t="shared" si="9"/>
        <v>0.5</v>
      </c>
      <c r="J31" s="123">
        <f t="shared" si="9"/>
        <v>0.25</v>
      </c>
      <c r="K31" s="124" t="s">
        <v>67</v>
      </c>
      <c r="L31" s="122">
        <f>(2*B$2+2*G31)^2/(2*B$2+2*$G$11)^2</f>
        <v>2.0371832715762603</v>
      </c>
      <c r="M31" s="122">
        <f>(2*C$2+2*H31)^2/(2*C$2+2*$H$11)^2</f>
        <v>2.0371832715762603</v>
      </c>
      <c r="N31" s="122">
        <f>(2*D$2+2*I31)^2/(2*D$2+2*$I$11)^2</f>
        <v>2.0371832715762603</v>
      </c>
      <c r="O31" s="123">
        <f>(2*E$2+2*J31)^2/(2*E$2+2*$J$11)^2</f>
        <v>2.0371832715762603</v>
      </c>
    </row>
  </sheetData>
  <mergeCells count="22">
    <mergeCell ref="A27:E27"/>
    <mergeCell ref="F27:J27"/>
    <mergeCell ref="K27:O27"/>
    <mergeCell ref="A17:E17"/>
    <mergeCell ref="F17:J17"/>
    <mergeCell ref="K17:O17"/>
    <mergeCell ref="A22:E22"/>
    <mergeCell ref="F22:J22"/>
    <mergeCell ref="K22:O22"/>
    <mergeCell ref="K6:O6"/>
    <mergeCell ref="A7:E7"/>
    <mergeCell ref="F7:J7"/>
    <mergeCell ref="K7:O7"/>
    <mergeCell ref="A12:E12"/>
    <mergeCell ref="F12:J12"/>
    <mergeCell ref="K12:O12"/>
    <mergeCell ref="G1:I1"/>
    <mergeCell ref="G2:I2"/>
    <mergeCell ref="G3:I3"/>
    <mergeCell ref="G4:I4"/>
    <mergeCell ref="A6:E6"/>
    <mergeCell ref="F6:J6"/>
  </mergeCells>
  <conditionalFormatting sqref="B9:E11">
    <cfRule type="colorScale" priority="10">
      <colorScale>
        <cfvo type="min"/>
        <cfvo type="num" val="1"/>
        <color theme="8"/>
        <color theme="0"/>
      </colorScale>
    </cfRule>
  </conditionalFormatting>
  <conditionalFormatting sqref="B14:E16">
    <cfRule type="colorScale" priority="9">
      <colorScale>
        <cfvo type="min"/>
        <cfvo type="num" val="1"/>
        <color theme="8"/>
        <color theme="0"/>
      </colorScale>
    </cfRule>
  </conditionalFormatting>
  <conditionalFormatting sqref="B19:E21">
    <cfRule type="colorScale" priority="8">
      <colorScale>
        <cfvo type="min"/>
        <cfvo type="num" val="1"/>
        <color theme="8"/>
        <color theme="0"/>
      </colorScale>
    </cfRule>
  </conditionalFormatting>
  <conditionalFormatting sqref="B24:E26">
    <cfRule type="cellIs" dxfId="19" priority="6" operator="equal">
      <formula>$J$2</formula>
    </cfRule>
    <cfRule type="colorScale" priority="7">
      <colorScale>
        <cfvo type="min"/>
        <cfvo type="num" val="1"/>
        <color theme="8"/>
        <color theme="0"/>
      </colorScale>
    </cfRule>
  </conditionalFormatting>
  <conditionalFormatting sqref="G19:J21">
    <cfRule type="cellIs" dxfId="18" priority="5" operator="equal">
      <formula>0.5</formula>
    </cfRule>
  </conditionalFormatting>
  <conditionalFormatting sqref="B30:E31">
    <cfRule type="cellIs" dxfId="17" priority="3" operator="equal">
      <formula>$J$2</formula>
    </cfRule>
    <cfRule type="colorScale" priority="4">
      <colorScale>
        <cfvo type="min"/>
        <cfvo type="num" val="1"/>
        <color theme="8"/>
        <color theme="0"/>
      </colorScale>
    </cfRule>
  </conditionalFormatting>
  <conditionalFormatting sqref="B29:E29">
    <cfRule type="cellIs" dxfId="16" priority="1" operator="equal">
      <formula>$J$2</formula>
    </cfRule>
    <cfRule type="colorScale" priority="2">
      <colorScale>
        <cfvo type="min"/>
        <cfvo type="num" val="1"/>
        <color theme="8"/>
        <color theme="0"/>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C61B-E1DD-4065-9969-077D45BB0B28}">
  <sheetPr>
    <tabColor theme="5"/>
  </sheetPr>
  <dimension ref="A1:O46"/>
  <sheetViews>
    <sheetView tabSelected="1" topLeftCell="A13" workbookViewId="0">
      <selection activeCell="A38" sqref="A38"/>
    </sheetView>
  </sheetViews>
  <sheetFormatPr defaultColWidth="8.85546875" defaultRowHeight="15" x14ac:dyDescent="0.25"/>
  <cols>
    <col min="1" max="1" width="19.42578125" style="2" customWidth="1"/>
    <col min="2" max="2" width="9.140625" style="2" bestFit="1" customWidth="1"/>
    <col min="3" max="3" width="11.140625" style="2" bestFit="1" customWidth="1"/>
    <col min="4" max="4" width="9.5703125" style="2" bestFit="1" customWidth="1"/>
    <col min="5" max="5" width="16.140625" style="2" bestFit="1" customWidth="1"/>
    <col min="6" max="6" width="20.7109375" style="2" bestFit="1" customWidth="1"/>
    <col min="7" max="7" width="10.7109375" style="2" customWidth="1"/>
    <col min="8" max="8" width="11.7109375" style="2" customWidth="1"/>
    <col min="9" max="9" width="9.5703125" style="2" bestFit="1" customWidth="1"/>
    <col min="10" max="10" width="15.28515625" style="2" bestFit="1" customWidth="1"/>
    <col min="11" max="11" width="19.5703125" style="2" bestFit="1" customWidth="1"/>
    <col min="12" max="12" width="8.85546875" style="2"/>
    <col min="13" max="13" width="10.5703125" style="2" bestFit="1" customWidth="1"/>
    <col min="14" max="14" width="8.85546875" style="2"/>
    <col min="15" max="15" width="15.28515625" style="2" bestFit="1" customWidth="1"/>
    <col min="16" max="16384" width="8.85546875" style="2"/>
  </cols>
  <sheetData>
    <row r="1" spans="1:15" x14ac:dyDescent="0.25">
      <c r="A1" s="102" t="s">
        <v>61</v>
      </c>
      <c r="B1" s="103" t="s">
        <v>17</v>
      </c>
      <c r="C1" s="103" t="s">
        <v>18</v>
      </c>
      <c r="D1" s="103" t="s">
        <v>19</v>
      </c>
      <c r="E1" s="103" t="s">
        <v>20</v>
      </c>
      <c r="F1" s="104" t="s">
        <v>62</v>
      </c>
      <c r="G1" s="189" t="s">
        <v>21</v>
      </c>
      <c r="H1" s="189"/>
      <c r="I1" s="189"/>
      <c r="J1" s="105" t="s">
        <v>63</v>
      </c>
    </row>
    <row r="2" spans="1:15" x14ac:dyDescent="0.25">
      <c r="A2" s="106" t="s">
        <v>64</v>
      </c>
      <c r="B2" s="107">
        <v>2.5</v>
      </c>
      <c r="C2" s="107">
        <v>1</v>
      </c>
      <c r="D2" s="107">
        <v>0.5</v>
      </c>
      <c r="E2" s="107">
        <v>0.25</v>
      </c>
      <c r="F2" s="108" t="s">
        <v>65</v>
      </c>
      <c r="G2" s="190">
        <v>0.05</v>
      </c>
      <c r="H2" s="190"/>
      <c r="I2" s="190"/>
      <c r="J2" s="109">
        <v>0.62</v>
      </c>
    </row>
    <row r="3" spans="1:15" x14ac:dyDescent="0.25">
      <c r="A3" s="106"/>
      <c r="B3" s="108"/>
      <c r="C3" s="108"/>
      <c r="D3" s="108"/>
      <c r="E3" s="108"/>
      <c r="F3" s="1" t="s">
        <v>66</v>
      </c>
      <c r="G3" s="190">
        <v>0.1</v>
      </c>
      <c r="H3" s="190"/>
      <c r="I3" s="190"/>
      <c r="J3" s="110"/>
    </row>
    <row r="4" spans="1:15" ht="15.75" thickBot="1" x14ac:dyDescent="0.3">
      <c r="A4" s="111"/>
      <c r="B4" s="112"/>
      <c r="C4" s="112"/>
      <c r="D4" s="112"/>
      <c r="E4" s="112"/>
      <c r="F4" s="113" t="s">
        <v>67</v>
      </c>
      <c r="G4" s="191">
        <v>0.4</v>
      </c>
      <c r="H4" s="191"/>
      <c r="I4" s="191"/>
      <c r="J4" s="114"/>
    </row>
    <row r="5" spans="1:15" ht="15.75" thickBot="1" x14ac:dyDescent="0.3">
      <c r="A5" s="115"/>
      <c r="B5" s="115"/>
      <c r="C5" s="115"/>
      <c r="D5" s="115"/>
      <c r="E5" s="115"/>
      <c r="F5" s="116"/>
      <c r="G5" s="117"/>
      <c r="H5" s="115"/>
      <c r="I5" s="115"/>
      <c r="J5" s="118"/>
    </row>
    <row r="6" spans="1:15" x14ac:dyDescent="0.25">
      <c r="A6" s="192" t="s">
        <v>68</v>
      </c>
      <c r="B6" s="193"/>
      <c r="C6" s="193"/>
      <c r="D6" s="193"/>
      <c r="E6" s="194"/>
      <c r="F6" s="192" t="s">
        <v>69</v>
      </c>
      <c r="G6" s="193"/>
      <c r="H6" s="193"/>
      <c r="I6" s="193"/>
      <c r="J6" s="194"/>
      <c r="K6" s="192" t="s">
        <v>70</v>
      </c>
      <c r="L6" s="193"/>
      <c r="M6" s="193"/>
      <c r="N6" s="193"/>
      <c r="O6" s="194"/>
    </row>
    <row r="7" spans="1:15" ht="28.15" customHeight="1" x14ac:dyDescent="0.25">
      <c r="A7" s="198" t="s">
        <v>75</v>
      </c>
      <c r="B7" s="199"/>
      <c r="C7" s="199"/>
      <c r="D7" s="199"/>
      <c r="E7" s="200"/>
      <c r="F7" s="198" t="s">
        <v>75</v>
      </c>
      <c r="G7" s="199"/>
      <c r="H7" s="199"/>
      <c r="I7" s="199"/>
      <c r="J7" s="200"/>
      <c r="K7" s="198" t="s">
        <v>75</v>
      </c>
      <c r="L7" s="199"/>
      <c r="M7" s="199"/>
      <c r="N7" s="199"/>
      <c r="O7" s="200"/>
    </row>
    <row r="8" spans="1:15" x14ac:dyDescent="0.25">
      <c r="A8" s="119"/>
      <c r="B8" s="120" t="s">
        <v>17</v>
      </c>
      <c r="C8" s="120" t="s">
        <v>18</v>
      </c>
      <c r="D8" s="120" t="s">
        <v>19</v>
      </c>
      <c r="E8" s="121" t="s">
        <v>20</v>
      </c>
      <c r="F8" s="119"/>
      <c r="G8" s="120" t="s">
        <v>17</v>
      </c>
      <c r="H8" s="120" t="s">
        <v>18</v>
      </c>
      <c r="I8" s="120" t="s">
        <v>19</v>
      </c>
      <c r="J8" s="121" t="s">
        <v>20</v>
      </c>
      <c r="K8" s="119"/>
      <c r="L8" s="120" t="s">
        <v>17</v>
      </c>
      <c r="M8" s="120" t="s">
        <v>18</v>
      </c>
      <c r="N8" s="120" t="s">
        <v>19</v>
      </c>
      <c r="O8" s="121" t="s">
        <v>20</v>
      </c>
    </row>
    <row r="9" spans="1:15" x14ac:dyDescent="0.25">
      <c r="A9" s="119" t="s">
        <v>65</v>
      </c>
      <c r="B9" s="122">
        <f>(((1+3*$G2)*B$2*B$2*PI()/$G2)^0.5-4*B$2)/3+$G2</f>
        <v>3.8003250431580802</v>
      </c>
      <c r="C9" s="122">
        <f t="shared" ref="C9:E9" si="0">(((1+3*$G2)*C$2*C$2*PI()/$G2)^0.5-4*C$2)/3+$G2</f>
        <v>1.550130017263232</v>
      </c>
      <c r="D9" s="122">
        <f t="shared" si="0"/>
        <v>0.800065008631616</v>
      </c>
      <c r="E9" s="123">
        <f t="shared" si="0"/>
        <v>0.42503250431580797</v>
      </c>
      <c r="F9" s="119" t="s">
        <v>65</v>
      </c>
      <c r="G9" s="122">
        <f>(((1+3*$G2)*B$2*B$2*PI()/$G2)^0.5-4*B$2)/3</f>
        <v>3.7503250431580804</v>
      </c>
      <c r="H9" s="122">
        <f t="shared" ref="H9:J11" si="1">(((1+3*$G2)*C$2*C$2*PI()/$G2)^0.5-4*C$2)/3</f>
        <v>1.5001300172632319</v>
      </c>
      <c r="I9" s="122">
        <f t="shared" si="1"/>
        <v>0.75006500863161596</v>
      </c>
      <c r="J9" s="123">
        <f t="shared" si="1"/>
        <v>0.37503250431580798</v>
      </c>
      <c r="K9" s="119" t="s">
        <v>65</v>
      </c>
      <c r="L9" s="122">
        <f>(4*B$2+3*G9)^2/(4*B$2+3*$G$9)^2</f>
        <v>1</v>
      </c>
      <c r="M9" s="122">
        <f>(4*C$2+3*H9)^2/(4*C$2+3*$H$9)^2</f>
        <v>1</v>
      </c>
      <c r="N9" s="122">
        <f>(4*D$2+3*I9)^2/(4*D$2+3*$I$9)^2</f>
        <v>1</v>
      </c>
      <c r="O9" s="123">
        <f>(4*E$2+3*J9)^2/(4*E$2+3*$J$9)^2</f>
        <v>1</v>
      </c>
    </row>
    <row r="10" spans="1:15" x14ac:dyDescent="0.25">
      <c r="A10" s="124" t="s">
        <v>66</v>
      </c>
      <c r="B10" s="122">
        <f t="shared" ref="B10:E11" si="2">(((1+3*$G3)*B$2*B$2*PI()/$G3)^0.5-4*B$2)/3+$G3</f>
        <v>2.0922277023612019</v>
      </c>
      <c r="C10" s="122">
        <f t="shared" si="2"/>
        <v>0.89689108094448089</v>
      </c>
      <c r="D10" s="122">
        <f t="shared" si="2"/>
        <v>0.49844554047224043</v>
      </c>
      <c r="E10" s="123">
        <f t="shared" si="2"/>
        <v>0.29922277023612021</v>
      </c>
      <c r="F10" s="124" t="s">
        <v>66</v>
      </c>
      <c r="G10" s="122">
        <f t="shared" ref="G10:G11" si="3">(((1+3*$G3)*B$2*B$2*PI()/$G3)^0.5-4*B$2)/3</f>
        <v>1.9922277023612018</v>
      </c>
      <c r="H10" s="122">
        <f t="shared" si="1"/>
        <v>0.79689108094448091</v>
      </c>
      <c r="I10" s="122">
        <f t="shared" si="1"/>
        <v>0.39844554047224046</v>
      </c>
      <c r="J10" s="123">
        <f t="shared" si="1"/>
        <v>0.19922277023612023</v>
      </c>
      <c r="K10" s="124" t="s">
        <v>66</v>
      </c>
      <c r="L10" s="122">
        <f>(4*B$2+3*G10)^2/(4*B$2+3*$G$10)^2</f>
        <v>1</v>
      </c>
      <c r="M10" s="122">
        <f>(4*C$2+3*H10)^2/(4*C$2+3*$H$10)^2</f>
        <v>1</v>
      </c>
      <c r="N10" s="122">
        <f>(4*D$2+3*I10)^2/(4*D$2+3*$I$10)^2</f>
        <v>1</v>
      </c>
      <c r="O10" s="123">
        <f>(4*E$2+3*J10)^2/(4*E$2+3*$J$10)^2</f>
        <v>1</v>
      </c>
    </row>
    <row r="11" spans="1:15" x14ac:dyDescent="0.25">
      <c r="A11" s="124" t="s">
        <v>67</v>
      </c>
      <c r="B11" s="122">
        <f t="shared" si="2"/>
        <v>0.5306439482695664</v>
      </c>
      <c r="C11" s="122">
        <f t="shared" si="2"/>
        <v>0.45225757930782662</v>
      </c>
      <c r="D11" s="122">
        <f t="shared" si="2"/>
        <v>0.42612878965391332</v>
      </c>
      <c r="E11" s="123">
        <f t="shared" si="2"/>
        <v>0.41306439482695667</v>
      </c>
      <c r="F11" s="124" t="s">
        <v>67</v>
      </c>
      <c r="G11" s="122">
        <f t="shared" si="3"/>
        <v>0.13064394826956635</v>
      </c>
      <c r="H11" s="122">
        <f t="shared" si="1"/>
        <v>5.2257579307826596E-2</v>
      </c>
      <c r="I11" s="122">
        <f t="shared" si="1"/>
        <v>2.6128789653913298E-2</v>
      </c>
      <c r="J11" s="123">
        <f t="shared" si="1"/>
        <v>1.3064394826956649E-2</v>
      </c>
      <c r="K11" s="124" t="s">
        <v>67</v>
      </c>
      <c r="L11" s="122">
        <f>(4*B$2+3*G11)^2/(4*B$2+3*$G$11)^2</f>
        <v>1</v>
      </c>
      <c r="M11" s="122">
        <f>(4*C$2+3*H11)^2/(4*C$2+3*$H$11)^2</f>
        <v>1</v>
      </c>
      <c r="N11" s="122">
        <f>(4*D$2+3*I11)^2/(4*D$2+3*$I$11)^2</f>
        <v>1</v>
      </c>
      <c r="O11" s="123">
        <f>(4*E$2+3*J11)^2/(4*E$2+3*$J$11)^2</f>
        <v>1</v>
      </c>
    </row>
    <row r="12" spans="1:15" ht="27.6" customHeight="1" x14ac:dyDescent="0.25">
      <c r="A12" s="198" t="s">
        <v>76</v>
      </c>
      <c r="B12" s="199"/>
      <c r="C12" s="199"/>
      <c r="D12" s="199"/>
      <c r="E12" s="200"/>
      <c r="F12" s="198" t="s">
        <v>76</v>
      </c>
      <c r="G12" s="199"/>
      <c r="H12" s="199"/>
      <c r="I12" s="199"/>
      <c r="J12" s="200"/>
      <c r="K12" s="198" t="s">
        <v>76</v>
      </c>
      <c r="L12" s="199"/>
      <c r="M12" s="199"/>
      <c r="N12" s="199"/>
      <c r="O12" s="200"/>
    </row>
    <row r="13" spans="1:15" x14ac:dyDescent="0.25">
      <c r="A13" s="119"/>
      <c r="B13" s="120" t="s">
        <v>17</v>
      </c>
      <c r="C13" s="120" t="s">
        <v>18</v>
      </c>
      <c r="D13" s="120" t="s">
        <v>19</v>
      </c>
      <c r="E13" s="121" t="s">
        <v>20</v>
      </c>
      <c r="F13" s="119"/>
      <c r="G13" s="120" t="s">
        <v>17</v>
      </c>
      <c r="H13" s="120" t="s">
        <v>18</v>
      </c>
      <c r="I13" s="120" t="s">
        <v>19</v>
      </c>
      <c r="J13" s="121" t="s">
        <v>20</v>
      </c>
      <c r="K13" s="119"/>
      <c r="L13" s="120" t="s">
        <v>17</v>
      </c>
      <c r="M13" s="120" t="s">
        <v>18</v>
      </c>
      <c r="N13" s="120" t="s">
        <v>19</v>
      </c>
      <c r="O13" s="121" t="s">
        <v>20</v>
      </c>
    </row>
    <row r="14" spans="1:15" x14ac:dyDescent="0.25">
      <c r="A14" s="119" t="s">
        <v>65</v>
      </c>
      <c r="B14" s="122">
        <f>(((1.1+3*$G2)*B$2*B$2*PI()/$G2)^0.5-4*B$2)/3+$G2</f>
        <v>4.1018910454396496</v>
      </c>
      <c r="C14" s="122">
        <f t="shared" ref="C14:E14" si="4">(((1.1+3*$G2)*C$2*C$2*PI()/$G2)^0.5-4*C$2)/3+$G2</f>
        <v>1.6707564181758596</v>
      </c>
      <c r="D14" s="122">
        <f t="shared" si="4"/>
        <v>0.86037820908792983</v>
      </c>
      <c r="E14" s="123">
        <f t="shared" si="4"/>
        <v>0.45518910454396488</v>
      </c>
      <c r="F14" s="119" t="s">
        <v>65</v>
      </c>
      <c r="G14" s="122">
        <f>(((1.1+3*$G2)*B$2*B$2*PI()/$G2)^0.5-4*B$2)/3</f>
        <v>4.0518910454396497</v>
      </c>
      <c r="H14" s="122">
        <f t="shared" ref="H14:J16" si="5">(((1.1+3*$G2)*C$2*C$2*PI()/$G2)^0.5-4*C$2)/3</f>
        <v>1.6207564181758596</v>
      </c>
      <c r="I14" s="122">
        <f t="shared" si="5"/>
        <v>0.81037820908792979</v>
      </c>
      <c r="J14" s="123">
        <f t="shared" si="5"/>
        <v>0.4051891045439649</v>
      </c>
      <c r="K14" s="119" t="s">
        <v>65</v>
      </c>
      <c r="L14" s="122">
        <f>(4*B$2+3*G14)^2/(4*B$2+3*$G$9)^2</f>
        <v>1.0869565217391304</v>
      </c>
      <c r="M14" s="122">
        <f>(4*C$2+3*H14)^2/(4*C$2+3*$H$9)^2</f>
        <v>1.0869565217391306</v>
      </c>
      <c r="N14" s="122">
        <f>(4*D$2+3*I14)^2/(4*D$2+3*$I$9)^2</f>
        <v>1.0869565217391306</v>
      </c>
      <c r="O14" s="123">
        <f>(4*E$2+3*J14)^2/(4*E$2+3*$J$9)^2</f>
        <v>1.0869565217391306</v>
      </c>
    </row>
    <row r="15" spans="1:15" x14ac:dyDescent="0.25">
      <c r="A15" s="124" t="s">
        <v>66</v>
      </c>
      <c r="B15" s="122">
        <f t="shared" ref="B15:E16" si="6">(((1.1+3*$G3)*B$2*B$2*PI()/$G3)^0.5-4*B$2)/3+$G3</f>
        <v>2.2932625366304515</v>
      </c>
      <c r="C15" s="122">
        <f t="shared" si="6"/>
        <v>0.97730501465218056</v>
      </c>
      <c r="D15" s="122">
        <f t="shared" si="6"/>
        <v>0.53865250732609027</v>
      </c>
      <c r="E15" s="123">
        <f t="shared" si="6"/>
        <v>0.31932625366304512</v>
      </c>
      <c r="F15" s="124" t="s">
        <v>66</v>
      </c>
      <c r="G15" s="122">
        <f t="shared" ref="G15:G16" si="7">(((1.1+3*$G3)*B$2*B$2*PI()/$G3)^0.5-4*B$2)/3</f>
        <v>2.1932625366304515</v>
      </c>
      <c r="H15" s="122">
        <f t="shared" si="5"/>
        <v>0.87730501465218058</v>
      </c>
      <c r="I15" s="122">
        <f t="shared" si="5"/>
        <v>0.43865250732609029</v>
      </c>
      <c r="J15" s="123">
        <f t="shared" si="5"/>
        <v>0.21932625366304515</v>
      </c>
      <c r="K15" s="124" t="s">
        <v>66</v>
      </c>
      <c r="L15" s="122">
        <f>(4*B$2+3*G15)^2/(4*B$2+3*$G$10)^2</f>
        <v>1.0769230769230771</v>
      </c>
      <c r="M15" s="122">
        <f>(4*C$2+3*H15)^2/(4*C$2+3*$H$10)^2</f>
        <v>1.0769230769230766</v>
      </c>
      <c r="N15" s="122">
        <f>(4*D$2+3*I15)^2/(4*D$2+3*$I$10)^2</f>
        <v>1.0769230769230766</v>
      </c>
      <c r="O15" s="123">
        <f>(4*E$2+3*J15)^2/(4*E$2+3*$J$10)^2</f>
        <v>1.0769230769230766</v>
      </c>
    </row>
    <row r="16" spans="1:15" x14ac:dyDescent="0.25">
      <c r="A16" s="124" t="s">
        <v>67</v>
      </c>
      <c r="B16" s="122">
        <f t="shared" si="6"/>
        <v>0.60849585491237357</v>
      </c>
      <c r="C16" s="122">
        <f t="shared" si="6"/>
        <v>0.48339834196494957</v>
      </c>
      <c r="D16" s="122">
        <f t="shared" si="6"/>
        <v>0.4416991709824748</v>
      </c>
      <c r="E16" s="123">
        <f t="shared" si="6"/>
        <v>0.42084958549123741</v>
      </c>
      <c r="F16" s="124" t="s">
        <v>67</v>
      </c>
      <c r="G16" s="122">
        <f t="shared" si="7"/>
        <v>0.20849585491237357</v>
      </c>
      <c r="H16" s="122">
        <f t="shared" si="5"/>
        <v>8.3398341964949552E-2</v>
      </c>
      <c r="I16" s="122">
        <f t="shared" si="5"/>
        <v>4.1699170982474776E-2</v>
      </c>
      <c r="J16" s="123">
        <f t="shared" si="5"/>
        <v>2.0849585491237388E-2</v>
      </c>
      <c r="K16" s="124" t="s">
        <v>67</v>
      </c>
      <c r="L16" s="122">
        <f>(4*B$2+3*G16)^2/(4*B$2+3*$G$11)^2</f>
        <v>1.0454545454545454</v>
      </c>
      <c r="M16" s="122">
        <f>(4*C$2+3*H16)^2/(4*C$2+3*$H$11)^2</f>
        <v>1.0454545454545454</v>
      </c>
      <c r="N16" s="122">
        <f>(4*D$2+3*I16)^2/(4*D$2+3*$I$11)^2</f>
        <v>1.0454545454545454</v>
      </c>
      <c r="O16" s="123">
        <f>(4*E$2+3*J16)^2/(4*E$2+3*$J$11)^2</f>
        <v>1.0454545454545454</v>
      </c>
    </row>
    <row r="17" spans="1:15" ht="28.9" customHeight="1" x14ac:dyDescent="0.25">
      <c r="A17" s="201" t="s">
        <v>77</v>
      </c>
      <c r="B17" s="202"/>
      <c r="C17" s="202"/>
      <c r="D17" s="202"/>
      <c r="E17" s="203"/>
      <c r="F17" s="201" t="s">
        <v>77</v>
      </c>
      <c r="G17" s="202"/>
      <c r="H17" s="202"/>
      <c r="I17" s="202"/>
      <c r="J17" s="203"/>
      <c r="K17" s="201" t="s">
        <v>77</v>
      </c>
      <c r="L17" s="202"/>
      <c r="M17" s="202"/>
      <c r="N17" s="202"/>
      <c r="O17" s="203"/>
    </row>
    <row r="18" spans="1:15" x14ac:dyDescent="0.25">
      <c r="A18" s="119"/>
      <c r="B18" s="120" t="s">
        <v>17</v>
      </c>
      <c r="C18" s="120" t="s">
        <v>18</v>
      </c>
      <c r="D18" s="120" t="s">
        <v>19</v>
      </c>
      <c r="E18" s="121" t="s">
        <v>20</v>
      </c>
      <c r="F18" s="119"/>
      <c r="G18" s="120" t="s">
        <v>17</v>
      </c>
      <c r="H18" s="120" t="s">
        <v>18</v>
      </c>
      <c r="I18" s="120" t="s">
        <v>19</v>
      </c>
      <c r="J18" s="121" t="s">
        <v>20</v>
      </c>
      <c r="K18" s="119"/>
      <c r="L18" s="120" t="s">
        <v>17</v>
      </c>
      <c r="M18" s="120" t="s">
        <v>18</v>
      </c>
      <c r="N18" s="120" t="s">
        <v>19</v>
      </c>
      <c r="O18" s="121" t="s">
        <v>20</v>
      </c>
    </row>
    <row r="19" spans="1:15" x14ac:dyDescent="0.25">
      <c r="A19" s="119" t="s">
        <v>65</v>
      </c>
      <c r="B19" s="122">
        <f>(((1+3*0.25+3*$G2)*B$2*B$2*PI()/$G2)^0.5-4*B$2)/3+$G2</f>
        <v>5.8217827817818737</v>
      </c>
      <c r="C19" s="122">
        <f t="shared" ref="C19:E19" si="8">(((1+3*0.25+3*$G2)*C$2*C$2*PI()/$G2)^0.5-4*C$2)/3+$G2</f>
        <v>2.3587131127127496</v>
      </c>
      <c r="D19" s="122">
        <f t="shared" si="8"/>
        <v>1.204356556356375</v>
      </c>
      <c r="E19" s="123">
        <f t="shared" si="8"/>
        <v>0.6271782781781875</v>
      </c>
      <c r="F19" s="119" t="s">
        <v>65</v>
      </c>
      <c r="G19" s="122">
        <f>(((1+3*0.25+3*$G2)*B$2*B$2*PI()/$G2)^0.5-4*B$2)/3</f>
        <v>5.7717827817818739</v>
      </c>
      <c r="H19" s="122">
        <f t="shared" ref="H19:J21" si="9">(((1+3*0.25+3*$G2)*C$2*C$2*PI()/$G2)^0.5-4*C$2)/3</f>
        <v>2.3087131127127498</v>
      </c>
      <c r="I19" s="122">
        <f t="shared" si="9"/>
        <v>1.1543565563563749</v>
      </c>
      <c r="J19" s="123">
        <f t="shared" si="9"/>
        <v>0.57717827817818745</v>
      </c>
      <c r="K19" s="119" t="s">
        <v>65</v>
      </c>
      <c r="L19" s="122">
        <f>(4*B$2+3*G19)^2/(4*B$2+3*$G$9)^2</f>
        <v>1.6521739130434785</v>
      </c>
      <c r="M19" s="122">
        <f>(4*C$2+3*H19)^2/(4*C$2+3*$H$9)^2</f>
        <v>1.6521739130434785</v>
      </c>
      <c r="N19" s="122">
        <f>(4*D$2+3*I19)^2/(4*D$2+3*$I$9)^2</f>
        <v>1.6521739130434785</v>
      </c>
      <c r="O19" s="123">
        <f>(4*E$2+3*J19)^2/(4*E$2+3*$J$9)^2</f>
        <v>1.6521739130434785</v>
      </c>
    </row>
    <row r="20" spans="1:15" x14ac:dyDescent="0.25">
      <c r="A20" s="124" t="s">
        <v>66</v>
      </c>
      <c r="B20" s="122">
        <f t="shared" ref="B20:E21" si="10">(((1+3*0.25+3*$G3)*B$2*B$2*PI()/$G3)^0.5-4*B$2)/3+$G3</f>
        <v>3.4542717748017679</v>
      </c>
      <c r="C20" s="122">
        <f t="shared" si="10"/>
        <v>1.4417087099207067</v>
      </c>
      <c r="D20" s="122">
        <f t="shared" si="10"/>
        <v>0.77085435496035326</v>
      </c>
      <c r="E20" s="123">
        <f t="shared" si="10"/>
        <v>0.43542717748017667</v>
      </c>
      <c r="F20" s="124" t="s">
        <v>66</v>
      </c>
      <c r="G20" s="122">
        <f t="shared" ref="G20:G21" si="11">(((1+3*0.25+3*$G3)*B$2*B$2*PI()/$G3)^0.5-4*B$2)/3</f>
        <v>3.3542717748017679</v>
      </c>
      <c r="H20" s="122">
        <f t="shared" si="9"/>
        <v>1.3417087099207066</v>
      </c>
      <c r="I20" s="122">
        <f t="shared" si="9"/>
        <v>0.67085435496035328</v>
      </c>
      <c r="J20" s="123">
        <f t="shared" si="9"/>
        <v>0.33542717748017664</v>
      </c>
      <c r="K20" s="124" t="s">
        <v>66</v>
      </c>
      <c r="L20" s="122">
        <f>(4*B$2+3*G20)^2/(4*B$2+3*$G$10)^2</f>
        <v>1.5769230769230773</v>
      </c>
      <c r="M20" s="122">
        <f>(4*C$2+3*H20)^2/(4*C$2+3*$H$10)^2</f>
        <v>1.5769230769230762</v>
      </c>
      <c r="N20" s="122">
        <f>(4*D$2+3*I20)^2/(4*D$2+3*$I$10)^2</f>
        <v>1.5769230769230762</v>
      </c>
      <c r="O20" s="123">
        <f>(4*E$2+3*J20)^2/(4*E$2+3*$J$10)^2</f>
        <v>1.5769230769230762</v>
      </c>
    </row>
    <row r="21" spans="1:15" ht="15.75" thickBot="1" x14ac:dyDescent="0.3">
      <c r="A21" s="126" t="s">
        <v>67</v>
      </c>
      <c r="B21" s="122">
        <f t="shared" si="10"/>
        <v>1.0778702319102367</v>
      </c>
      <c r="C21" s="122">
        <f t="shared" si="10"/>
        <v>0.67114809276409471</v>
      </c>
      <c r="D21" s="122">
        <f t="shared" si="10"/>
        <v>0.53557404638204731</v>
      </c>
      <c r="E21" s="123">
        <f t="shared" si="10"/>
        <v>0.46778702319102367</v>
      </c>
      <c r="F21" s="126" t="s">
        <v>67</v>
      </c>
      <c r="G21" s="122">
        <f t="shared" si="11"/>
        <v>0.67787023191023665</v>
      </c>
      <c r="H21" s="122">
        <f t="shared" si="9"/>
        <v>0.27114809276409463</v>
      </c>
      <c r="I21" s="122">
        <f t="shared" si="9"/>
        <v>0.13557404638204731</v>
      </c>
      <c r="J21" s="123">
        <f t="shared" si="9"/>
        <v>6.7787023191023657E-2</v>
      </c>
      <c r="K21" s="126" t="s">
        <v>67</v>
      </c>
      <c r="L21" s="122">
        <f>(4*B$2+3*G21)^2/(4*B$2+3*$G$11)^2</f>
        <v>1.3409090909090913</v>
      </c>
      <c r="M21" s="122">
        <f>(4*C$2+3*H21)^2/(4*C$2+3*$H$11)^2</f>
        <v>1.3409090909090911</v>
      </c>
      <c r="N21" s="122">
        <f>(4*D$2+3*I21)^2/(4*D$2+3*$I$11)^2</f>
        <v>1.3409090909090911</v>
      </c>
      <c r="O21" s="123">
        <f>(4*E$2+3*J21)^2/(4*E$2+3*$J$11)^2</f>
        <v>1.3409090909090911</v>
      </c>
    </row>
    <row r="22" spans="1:15" ht="28.9" customHeight="1" x14ac:dyDescent="0.25">
      <c r="A22" s="201" t="s">
        <v>78</v>
      </c>
      <c r="B22" s="202"/>
      <c r="C22" s="202"/>
      <c r="D22" s="202"/>
      <c r="E22" s="203"/>
      <c r="F22" s="201" t="s">
        <v>78</v>
      </c>
      <c r="G22" s="202"/>
      <c r="H22" s="202"/>
      <c r="I22" s="202"/>
      <c r="J22" s="203"/>
      <c r="K22" s="201" t="s">
        <v>78</v>
      </c>
      <c r="L22" s="202"/>
      <c r="M22" s="202"/>
      <c r="N22" s="202"/>
      <c r="O22" s="203"/>
    </row>
    <row r="23" spans="1:15" x14ac:dyDescent="0.25">
      <c r="A23" s="119"/>
      <c r="B23" s="120" t="s">
        <v>17</v>
      </c>
      <c r="C23" s="120" t="s">
        <v>18</v>
      </c>
      <c r="D23" s="120" t="s">
        <v>19</v>
      </c>
      <c r="E23" s="121" t="s">
        <v>20</v>
      </c>
      <c r="F23" s="119"/>
      <c r="G23" s="120" t="s">
        <v>17</v>
      </c>
      <c r="H23" s="120" t="s">
        <v>18</v>
      </c>
      <c r="I23" s="120" t="s">
        <v>19</v>
      </c>
      <c r="J23" s="121" t="s">
        <v>20</v>
      </c>
      <c r="K23" s="119"/>
      <c r="L23" s="120" t="s">
        <v>17</v>
      </c>
      <c r="M23" s="120" t="s">
        <v>18</v>
      </c>
      <c r="N23" s="120" t="s">
        <v>19</v>
      </c>
      <c r="O23" s="121" t="s">
        <v>20</v>
      </c>
    </row>
    <row r="24" spans="1:15" x14ac:dyDescent="0.25">
      <c r="A24" s="119" t="s">
        <v>65</v>
      </c>
      <c r="B24" s="122">
        <f>(((0.5*4+3*$G2)*B$2*B$2*PI()/$G2)^0.5-4*B$2)/3+$G2</f>
        <v>6.4022976370627198</v>
      </c>
      <c r="C24" s="122">
        <f t="shared" ref="C24:E24" si="12">(((0.5*4+3*$G2)*C$2*C$2*PI()/$G2)^0.5-4*C$2)/3+$G2</f>
        <v>2.5909190548250884</v>
      </c>
      <c r="D24" s="122">
        <f t="shared" si="12"/>
        <v>1.3204595274125444</v>
      </c>
      <c r="E24" s="122">
        <f t="shared" si="12"/>
        <v>0.6852297637062722</v>
      </c>
      <c r="F24" s="119" t="s">
        <v>65</v>
      </c>
      <c r="G24" s="122">
        <f>(((0.5*4+3*$G2)*B$2*B$2*PI()/$G2)^0.5-4*B$2)/3</f>
        <v>6.35229763706272</v>
      </c>
      <c r="H24" s="122">
        <f t="shared" ref="H24:J26" si="13">(((0.5*4+3*$G2)*C$2*C$2*PI()/$G2)^0.5-4*C$2)/3</f>
        <v>2.5409190548250886</v>
      </c>
      <c r="I24" s="122">
        <f t="shared" si="13"/>
        <v>1.2704595274125443</v>
      </c>
      <c r="J24" s="123">
        <f t="shared" si="13"/>
        <v>0.63522976370627215</v>
      </c>
      <c r="K24" s="119" t="s">
        <v>65</v>
      </c>
      <c r="L24" s="122">
        <f>(4*B$2+3*G24)^2/(4*B$2+3*$G$9)^2</f>
        <v>1.8695652173913042</v>
      </c>
      <c r="M24" s="122">
        <f>(4*C$2+3*H24)^2/(4*C$2+3*$H$9)^2</f>
        <v>1.8695652173913047</v>
      </c>
      <c r="N24" s="122">
        <f>(4*D$2+3*I24)^2/(4*D$2+3*$I$9)^2</f>
        <v>1.8695652173913047</v>
      </c>
      <c r="O24" s="123">
        <f>(4*E$2+3*J24)^2/(4*E$2+3*$J$9)^2</f>
        <v>1.8695652173913047</v>
      </c>
    </row>
    <row r="25" spans="1:15" x14ac:dyDescent="0.25">
      <c r="A25" s="124" t="s">
        <v>66</v>
      </c>
      <c r="B25" s="122">
        <f t="shared" ref="B25:E26" si="14">(((0.5*4+3*$G3)*B$2*B$2*PI()/$G3)^0.5-4*B$2)/3+$G3</f>
        <v>3.8503250431580804</v>
      </c>
      <c r="C25" s="122">
        <f t="shared" si="14"/>
        <v>1.600130017263232</v>
      </c>
      <c r="D25" s="122">
        <f t="shared" si="14"/>
        <v>0.85006500863161594</v>
      </c>
      <c r="E25" s="122">
        <f t="shared" si="14"/>
        <v>0.47503250431580801</v>
      </c>
      <c r="F25" s="124" t="s">
        <v>66</v>
      </c>
      <c r="G25" s="122">
        <f t="shared" ref="G25:G26" si="15">(((0.5*4+3*$G3)*B$2*B$2*PI()/$G3)^0.5-4*B$2)/3</f>
        <v>3.7503250431580804</v>
      </c>
      <c r="H25" s="122">
        <f t="shared" si="13"/>
        <v>1.5001300172632319</v>
      </c>
      <c r="I25" s="122">
        <f t="shared" si="13"/>
        <v>0.75006500863161596</v>
      </c>
      <c r="J25" s="123">
        <f t="shared" si="13"/>
        <v>0.37503250431580798</v>
      </c>
      <c r="K25" s="124" t="s">
        <v>66</v>
      </c>
      <c r="L25" s="122">
        <f>(4*B$2+3*G25)^2/(4*B$2+3*$G$10)^2</f>
        <v>1.7692307692307694</v>
      </c>
      <c r="M25" s="122">
        <f>(4*C$2+3*H25)^2/(4*C$2+3*$H$10)^2</f>
        <v>1.7692307692307687</v>
      </c>
      <c r="N25" s="122">
        <f>(4*D$2+3*I25)^2/(4*D$2+3*$I$10)^2</f>
        <v>1.7692307692307687</v>
      </c>
      <c r="O25" s="123">
        <f>(4*E$2+3*J25)^2/(4*E$2+3*$J$10)^2</f>
        <v>1.7692307692307687</v>
      </c>
    </row>
    <row r="26" spans="1:15" ht="15.75" thickBot="1" x14ac:dyDescent="0.3">
      <c r="A26" s="126" t="s">
        <v>67</v>
      </c>
      <c r="B26" s="122">
        <f t="shared" si="14"/>
        <v>1.2443804577183335</v>
      </c>
      <c r="C26" s="122">
        <f t="shared" si="14"/>
        <v>0.73775218308733348</v>
      </c>
      <c r="D26" s="122">
        <f t="shared" si="14"/>
        <v>0.56887609154366681</v>
      </c>
      <c r="E26" s="122">
        <f t="shared" si="14"/>
        <v>0.48443804577183341</v>
      </c>
      <c r="F26" s="126" t="s">
        <v>67</v>
      </c>
      <c r="G26" s="122">
        <f t="shared" si="15"/>
        <v>0.84438045771833359</v>
      </c>
      <c r="H26" s="122">
        <f t="shared" si="13"/>
        <v>0.33775218308733351</v>
      </c>
      <c r="I26" s="122">
        <f t="shared" si="13"/>
        <v>0.16887609154366676</v>
      </c>
      <c r="J26" s="123">
        <f t="shared" si="13"/>
        <v>8.4438045771833378E-2</v>
      </c>
      <c r="K26" s="126" t="s">
        <v>67</v>
      </c>
      <c r="L26" s="122">
        <f>(4*B$2+3*G26)^2/(4*B$2+3*$G$11)^2</f>
        <v>1.4545454545454541</v>
      </c>
      <c r="M26" s="122">
        <f>(4*C$2+3*H26)^2/(4*C$2+3*$H$11)^2</f>
        <v>1.4545454545454541</v>
      </c>
      <c r="N26" s="122">
        <f>(4*D$2+3*I26)^2/(4*D$2+3*$I$11)^2</f>
        <v>1.4545454545454541</v>
      </c>
      <c r="O26" s="123">
        <f>(4*E$2+3*J26)^2/(4*E$2+3*$J$11)^2</f>
        <v>1.4545454545454541</v>
      </c>
    </row>
    <row r="27" spans="1:15" ht="28.9" customHeight="1" x14ac:dyDescent="0.25">
      <c r="A27" s="201" t="s">
        <v>79</v>
      </c>
      <c r="B27" s="202"/>
      <c r="C27" s="202"/>
      <c r="D27" s="202"/>
      <c r="E27" s="203"/>
      <c r="F27" s="201" t="s">
        <v>79</v>
      </c>
      <c r="G27" s="202"/>
      <c r="H27" s="202"/>
      <c r="I27" s="202"/>
      <c r="J27" s="203"/>
      <c r="K27" s="201" t="s">
        <v>79</v>
      </c>
      <c r="L27" s="202"/>
      <c r="M27" s="202"/>
      <c r="N27" s="202"/>
      <c r="O27" s="203"/>
    </row>
    <row r="28" spans="1:15" x14ac:dyDescent="0.25">
      <c r="A28" s="119"/>
      <c r="B28" s="120" t="s">
        <v>17</v>
      </c>
      <c r="C28" s="120" t="s">
        <v>18</v>
      </c>
      <c r="D28" s="120" t="s">
        <v>19</v>
      </c>
      <c r="E28" s="121" t="s">
        <v>20</v>
      </c>
      <c r="F28" s="119"/>
      <c r="G28" s="120" t="s">
        <v>17</v>
      </c>
      <c r="H28" s="120" t="s">
        <v>18</v>
      </c>
      <c r="I28" s="120" t="s">
        <v>19</v>
      </c>
      <c r="J28" s="121" t="s">
        <v>20</v>
      </c>
      <c r="K28" s="119"/>
      <c r="L28" s="120" t="s">
        <v>17</v>
      </c>
      <c r="M28" s="120" t="s">
        <v>18</v>
      </c>
      <c r="N28" s="120" t="s">
        <v>19</v>
      </c>
      <c r="O28" s="121" t="s">
        <v>20</v>
      </c>
    </row>
    <row r="29" spans="1:15" x14ac:dyDescent="0.25">
      <c r="A29" s="119" t="s">
        <v>65</v>
      </c>
      <c r="B29" s="122">
        <f>(((4+3*$G2)*B$2*B$2*PI()/$G2)^0.5-4*B$2)/3+$G2</f>
        <v>10.173185900644365</v>
      </c>
      <c r="C29" s="122">
        <f t="shared" ref="C29:E29" si="16">(((4+3*$G2)*C$2*C$2*PI()/$G2)^0.5-4*C$2)/3+$G2</f>
        <v>4.0992743602577448</v>
      </c>
      <c r="D29" s="122">
        <f t="shared" si="16"/>
        <v>2.0746371801288723</v>
      </c>
      <c r="E29" s="122">
        <f t="shared" si="16"/>
        <v>1.0623185900644363</v>
      </c>
      <c r="F29" s="119" t="s">
        <v>65</v>
      </c>
      <c r="G29" s="122">
        <f>(((4+3*$G2)*B$2*B$2*PI()/$G2)^0.5-4*B$2)/3</f>
        <v>10.123185900644364</v>
      </c>
      <c r="H29" s="122">
        <f t="shared" ref="H29:J31" si="17">(((4+3*$G2)*C$2*C$2*PI()/$G2)^0.5-4*C$2)/3</f>
        <v>4.049274360257745</v>
      </c>
      <c r="I29" s="122">
        <f t="shared" si="17"/>
        <v>2.0246371801288725</v>
      </c>
      <c r="J29" s="123">
        <f t="shared" si="17"/>
        <v>1.0123185900644363</v>
      </c>
      <c r="K29" s="119" t="s">
        <v>65</v>
      </c>
      <c r="L29" s="122">
        <f>(4*B$2+3*G29)^2/(4*B$2+3*$G$9)^2</f>
        <v>3.6086956521739135</v>
      </c>
      <c r="M29" s="122">
        <f>(4*C$2+3*H29)^2/(4*C$2+3*$H$9)^2</f>
        <v>3.6086956521739144</v>
      </c>
      <c r="N29" s="122">
        <f>(4*D$2+3*I29)^2/(4*D$2+3*$I$9)^2</f>
        <v>3.6086956521739144</v>
      </c>
      <c r="O29" s="123">
        <f>(4*E$2+3*J29)^2/(4*E$2+3*$J$9)^2</f>
        <v>3.6086956521739144</v>
      </c>
    </row>
    <row r="30" spans="1:15" x14ac:dyDescent="0.25">
      <c r="A30" s="124" t="s">
        <v>66</v>
      </c>
      <c r="B30" s="122">
        <f t="shared" ref="B30:E31" si="18">(((4+3*$G3)*B$2*B$2*PI()/$G3)^0.5-4*B$2)/3+$G3</f>
        <v>6.4522976370627196</v>
      </c>
      <c r="C30" s="122">
        <f t="shared" si="18"/>
        <v>2.6409190548250887</v>
      </c>
      <c r="D30" s="122">
        <f t="shared" si="18"/>
        <v>1.3704595274125444</v>
      </c>
      <c r="E30" s="122">
        <f t="shared" si="18"/>
        <v>0.73522976370627213</v>
      </c>
      <c r="F30" s="124" t="s">
        <v>66</v>
      </c>
      <c r="G30" s="122">
        <f t="shared" ref="G30:G31" si="19">(((4+3*$G3)*B$2*B$2*PI()/$G3)^0.5-4*B$2)/3</f>
        <v>6.35229763706272</v>
      </c>
      <c r="H30" s="122">
        <f t="shared" si="17"/>
        <v>2.5409190548250886</v>
      </c>
      <c r="I30" s="122">
        <f t="shared" si="17"/>
        <v>1.2704595274125443</v>
      </c>
      <c r="J30" s="123">
        <f t="shared" si="17"/>
        <v>0.63522976370627215</v>
      </c>
      <c r="K30" s="124" t="s">
        <v>66</v>
      </c>
      <c r="L30" s="122">
        <f>(4*B$2+3*G30)^2/(4*B$2+3*$G$10)^2</f>
        <v>3.3076923076923079</v>
      </c>
      <c r="M30" s="122">
        <f>(4*C$2+3*H30)^2/(4*C$2+3*$H$10)^2</f>
        <v>3.3076923076923075</v>
      </c>
      <c r="N30" s="122">
        <f>(4*D$2+3*I30)^2/(4*D$2+3*$I$10)^2</f>
        <v>3.3076923076923075</v>
      </c>
      <c r="O30" s="123">
        <f>(4*E$2+3*J30)^2/(4*E$2+3*$J$10)^2</f>
        <v>3.3076923076923075</v>
      </c>
    </row>
    <row r="31" spans="1:15" ht="15.75" thickBot="1" x14ac:dyDescent="0.3">
      <c r="A31" s="126" t="s">
        <v>67</v>
      </c>
      <c r="B31" s="127">
        <f t="shared" si="18"/>
        <v>2.3922277023612017</v>
      </c>
      <c r="C31" s="127">
        <f t="shared" si="18"/>
        <v>1.1968910809444808</v>
      </c>
      <c r="D31" s="127">
        <f t="shared" si="18"/>
        <v>0.79844554047224048</v>
      </c>
      <c r="E31" s="127">
        <f t="shared" si="18"/>
        <v>0.59922277023612025</v>
      </c>
      <c r="F31" s="126" t="s">
        <v>67</v>
      </c>
      <c r="G31" s="127">
        <f t="shared" si="19"/>
        <v>1.9922277023612018</v>
      </c>
      <c r="H31" s="127">
        <f t="shared" si="17"/>
        <v>0.79689108094448091</v>
      </c>
      <c r="I31" s="127">
        <f t="shared" si="17"/>
        <v>0.39844554047224046</v>
      </c>
      <c r="J31" s="128">
        <f t="shared" si="17"/>
        <v>0.19922277023612023</v>
      </c>
      <c r="K31" s="126" t="s">
        <v>67</v>
      </c>
      <c r="L31" s="127">
        <f>(4*B$2+3*G31)^2/(4*B$2+3*$G$11)^2</f>
        <v>2.3636363636363633</v>
      </c>
      <c r="M31" s="127">
        <f>(4*C$2+3*H31)^2/(4*C$2+3*$H$11)^2</f>
        <v>2.3636363636363638</v>
      </c>
      <c r="N31" s="127">
        <f>(4*D$2+3*I31)^2/(4*D$2+3*$I$11)^2</f>
        <v>2.3636363636363638</v>
      </c>
      <c r="O31" s="128">
        <f>(4*E$2+3*J31)^2/(4*E$2+3*$J$11)^2</f>
        <v>2.3636363636363638</v>
      </c>
    </row>
    <row r="32" spans="1:15" ht="30" customHeight="1" x14ac:dyDescent="0.25">
      <c r="A32" s="198" t="s">
        <v>73</v>
      </c>
      <c r="B32" s="199"/>
      <c r="C32" s="199"/>
      <c r="D32" s="199"/>
      <c r="E32" s="200"/>
      <c r="F32" s="198" t="s">
        <v>73</v>
      </c>
      <c r="G32" s="199"/>
      <c r="H32" s="199"/>
      <c r="I32" s="199"/>
      <c r="J32" s="200"/>
      <c r="K32" s="198" t="s">
        <v>73</v>
      </c>
      <c r="L32" s="199"/>
      <c r="M32" s="199"/>
      <c r="N32" s="199"/>
      <c r="O32" s="200"/>
    </row>
    <row r="33" spans="1:15" ht="14.45" customHeight="1" x14ac:dyDescent="0.25">
      <c r="A33" s="119"/>
      <c r="B33" s="120" t="s">
        <v>17</v>
      </c>
      <c r="C33" s="120" t="s">
        <v>18</v>
      </c>
      <c r="D33" s="120" t="s">
        <v>19</v>
      </c>
      <c r="E33" s="121" t="s">
        <v>20</v>
      </c>
      <c r="F33" s="119"/>
      <c r="G33" s="120" t="s">
        <v>17</v>
      </c>
      <c r="H33" s="120" t="s">
        <v>18</v>
      </c>
      <c r="I33" s="120" t="s">
        <v>19</v>
      </c>
      <c r="J33" s="121" t="s">
        <v>20</v>
      </c>
      <c r="K33" s="119"/>
      <c r="L33" s="120" t="s">
        <v>17</v>
      </c>
      <c r="M33" s="120" t="s">
        <v>18</v>
      </c>
      <c r="N33" s="120" t="s">
        <v>19</v>
      </c>
      <c r="O33" s="121" t="s">
        <v>20</v>
      </c>
    </row>
    <row r="34" spans="1:15" x14ac:dyDescent="0.25">
      <c r="A34" s="119" t="s">
        <v>65</v>
      </c>
      <c r="B34" s="122">
        <f t="shared" ref="B34:E36" si="20">MAX($G2+0.5,(((1+3*$G2)*B$2*B$2*PI()/$G2)^0.5-4*B$2)/3+$G2)</f>
        <v>3.8003250431580802</v>
      </c>
      <c r="C34" s="122">
        <f t="shared" si="20"/>
        <v>1.550130017263232</v>
      </c>
      <c r="D34" s="122">
        <f t="shared" si="20"/>
        <v>0.800065008631616</v>
      </c>
      <c r="E34" s="123">
        <f t="shared" si="20"/>
        <v>0.55000000000000004</v>
      </c>
      <c r="F34" s="119" t="s">
        <v>65</v>
      </c>
      <c r="G34" s="122">
        <f t="shared" ref="G34:J36" si="21">MAX(0.5,(((1+3*$G2)*B$2*B$2*PI()/$G2)^0.5-4*B$2)/3)</f>
        <v>3.7503250431580804</v>
      </c>
      <c r="H34" s="122">
        <f t="shared" si="21"/>
        <v>1.5001300172632319</v>
      </c>
      <c r="I34" s="122">
        <f t="shared" si="21"/>
        <v>0.75006500863161596</v>
      </c>
      <c r="J34" s="123">
        <f t="shared" si="21"/>
        <v>0.5</v>
      </c>
      <c r="K34" s="119" t="s">
        <v>65</v>
      </c>
      <c r="L34" s="122">
        <f>(4*B$2+3*G34)^2/(4*B$2+3*$G$9)^2</f>
        <v>1</v>
      </c>
      <c r="M34" s="122">
        <f>(4*C$2+3*H34)^2/(4*C$2+3*$H$9)^2</f>
        <v>1</v>
      </c>
      <c r="N34" s="122">
        <f>(4*D$2+3*I34)^2/(4*D$2+3*$I$9)^2</f>
        <v>1</v>
      </c>
      <c r="O34" s="123">
        <f>(4*E$2+3*J34)^2/(4*E$2+3*$J$9)^2</f>
        <v>1.3839560268860467</v>
      </c>
    </row>
    <row r="35" spans="1:15" x14ac:dyDescent="0.25">
      <c r="A35" s="124" t="s">
        <v>66</v>
      </c>
      <c r="B35" s="122">
        <f t="shared" si="20"/>
        <v>2.0922277023612019</v>
      </c>
      <c r="C35" s="122">
        <f t="shared" si="20"/>
        <v>0.89689108094448089</v>
      </c>
      <c r="D35" s="122">
        <f t="shared" si="20"/>
        <v>0.6</v>
      </c>
      <c r="E35" s="123">
        <f t="shared" si="20"/>
        <v>0.6</v>
      </c>
      <c r="F35" s="124" t="s">
        <v>66</v>
      </c>
      <c r="G35" s="122">
        <f t="shared" si="21"/>
        <v>1.9922277023612018</v>
      </c>
      <c r="H35" s="122">
        <f t="shared" si="21"/>
        <v>0.79689108094448091</v>
      </c>
      <c r="I35" s="122">
        <f t="shared" si="21"/>
        <v>0.5</v>
      </c>
      <c r="J35" s="123">
        <f t="shared" si="21"/>
        <v>0.5</v>
      </c>
      <c r="K35" s="124" t="s">
        <v>66</v>
      </c>
      <c r="L35" s="122">
        <f>(4*B$2+3*G35)^2/(4*B$2+3*$G$10)^2</f>
        <v>1</v>
      </c>
      <c r="M35" s="122">
        <f>(4*C$2+3*H35)^2/(4*C$2+3*$H$10)^2</f>
        <v>1</v>
      </c>
      <c r="N35" s="122">
        <f>(4*D$2+3*I35)^2/(4*D$2+3*$I$10)^2</f>
        <v>1.1997834171542878</v>
      </c>
      <c r="O35" s="123">
        <f>(4*E$2+3*J35)^2/(4*E$2+3*$J$10)^2</f>
        <v>2.4485375860291589</v>
      </c>
    </row>
    <row r="36" spans="1:15" x14ac:dyDescent="0.25">
      <c r="A36" s="124" t="s">
        <v>67</v>
      </c>
      <c r="B36" s="122">
        <f t="shared" si="20"/>
        <v>0.9</v>
      </c>
      <c r="C36" s="122">
        <f t="shared" si="20"/>
        <v>0.9</v>
      </c>
      <c r="D36" s="122">
        <f t="shared" si="20"/>
        <v>0.9</v>
      </c>
      <c r="E36" s="123">
        <f t="shared" si="20"/>
        <v>0.9</v>
      </c>
      <c r="F36" s="124" t="s">
        <v>67</v>
      </c>
      <c r="G36" s="122">
        <f t="shared" si="21"/>
        <v>0.5</v>
      </c>
      <c r="H36" s="122">
        <f t="shared" si="21"/>
        <v>0.5</v>
      </c>
      <c r="I36" s="122">
        <f t="shared" si="21"/>
        <v>0.5</v>
      </c>
      <c r="J36" s="123">
        <f t="shared" si="21"/>
        <v>0.5</v>
      </c>
      <c r="K36" s="124" t="s">
        <v>67</v>
      </c>
      <c r="L36" s="122">
        <f>(4*B$2+3*G36)^2/(4*B$2+3*$G$11)^2</f>
        <v>1.2246249439361838</v>
      </c>
      <c r="M36" s="122">
        <f>(4*C$2+3*H36)^2/(4*C$2+3*$H$11)^2</f>
        <v>1.7507043740108486</v>
      </c>
      <c r="N36" s="122">
        <f>(4*D$2+3*I36)^2/(4*D$2+3*$I$11)^2</f>
        <v>2.8358517132737711</v>
      </c>
      <c r="O36" s="123">
        <f>(4*E$2+3*J36)^2/(4*E$2+3*$J$11)^2</f>
        <v>5.7874524760689212</v>
      </c>
    </row>
    <row r="37" spans="1:15" ht="28.15" customHeight="1" x14ac:dyDescent="0.25">
      <c r="A37" s="198" t="s">
        <v>118</v>
      </c>
      <c r="B37" s="199"/>
      <c r="C37" s="199"/>
      <c r="D37" s="199"/>
      <c r="E37" s="200"/>
      <c r="F37" s="198" t="s">
        <v>118</v>
      </c>
      <c r="G37" s="199"/>
      <c r="H37" s="199"/>
      <c r="I37" s="199"/>
      <c r="J37" s="200"/>
      <c r="K37" s="198" t="s">
        <v>118</v>
      </c>
      <c r="L37" s="199"/>
      <c r="M37" s="199"/>
      <c r="N37" s="199"/>
      <c r="O37" s="200"/>
    </row>
    <row r="38" spans="1:15" x14ac:dyDescent="0.25">
      <c r="A38" s="119"/>
      <c r="B38" s="120" t="s">
        <v>17</v>
      </c>
      <c r="C38" s="120" t="s">
        <v>18</v>
      </c>
      <c r="D38" s="120" t="s">
        <v>19</v>
      </c>
      <c r="E38" s="121" t="s">
        <v>20</v>
      </c>
      <c r="F38" s="125"/>
      <c r="G38" s="120" t="s">
        <v>17</v>
      </c>
      <c r="H38" s="120" t="s">
        <v>18</v>
      </c>
      <c r="I38" s="120" t="s">
        <v>19</v>
      </c>
      <c r="J38" s="121" t="s">
        <v>20</v>
      </c>
      <c r="K38" s="125"/>
      <c r="L38" s="120" t="s">
        <v>17</v>
      </c>
      <c r="M38" s="120" t="s">
        <v>18</v>
      </c>
      <c r="N38" s="120" t="s">
        <v>19</v>
      </c>
      <c r="O38" s="121" t="s">
        <v>20</v>
      </c>
    </row>
    <row r="39" spans="1:15" x14ac:dyDescent="0.25">
      <c r="A39" s="119" t="s">
        <v>65</v>
      </c>
      <c r="B39" s="122">
        <f t="shared" ref="B39:E41" si="22">MAX($J$2*1,(((1+3*$G2)*B$2*B$2*PI()/$G2)^0.5-4*B$2)/3+$G2)</f>
        <v>3.8003250431580802</v>
      </c>
      <c r="C39" s="122">
        <f t="shared" si="22"/>
        <v>1.550130017263232</v>
      </c>
      <c r="D39" s="122">
        <f t="shared" si="22"/>
        <v>0.800065008631616</v>
      </c>
      <c r="E39" s="123">
        <f t="shared" si="22"/>
        <v>0.62</v>
      </c>
      <c r="F39" s="119" t="s">
        <v>65</v>
      </c>
      <c r="G39" s="122">
        <f t="shared" ref="G39:J41" si="23">B39-$G2</f>
        <v>3.7503250431580804</v>
      </c>
      <c r="H39" s="122">
        <f t="shared" si="23"/>
        <v>1.5001300172632319</v>
      </c>
      <c r="I39" s="122">
        <f t="shared" si="23"/>
        <v>0.75006500863161596</v>
      </c>
      <c r="J39" s="123">
        <f t="shared" si="23"/>
        <v>0.56999999999999995</v>
      </c>
      <c r="K39" s="119" t="s">
        <v>65</v>
      </c>
      <c r="L39" s="122">
        <f>(4*B$2+3*G39)^2/(4*B$2+3*$G$9)^2</f>
        <v>1</v>
      </c>
      <c r="M39" s="122">
        <f>(4*C$2+3*H39)^2/(4*C$2+3*$H$9)^2</f>
        <v>1</v>
      </c>
      <c r="N39" s="122">
        <f>(4*D$2+3*I39)^2/(4*D$2+3*$I$9)^2</f>
        <v>1</v>
      </c>
      <c r="O39" s="123">
        <f>(4*E$2+3*J39)^2/(4*E$2+3*$J$9)^2</f>
        <v>1.6262258331286106</v>
      </c>
    </row>
    <row r="40" spans="1:15" x14ac:dyDescent="0.25">
      <c r="A40" s="124" t="s">
        <v>66</v>
      </c>
      <c r="B40" s="122">
        <f t="shared" si="22"/>
        <v>2.0922277023612019</v>
      </c>
      <c r="C40" s="122">
        <f t="shared" si="22"/>
        <v>0.89689108094448089</v>
      </c>
      <c r="D40" s="122">
        <f t="shared" si="22"/>
        <v>0.62</v>
      </c>
      <c r="E40" s="123">
        <f t="shared" si="22"/>
        <v>0.62</v>
      </c>
      <c r="F40" s="124" t="s">
        <v>66</v>
      </c>
      <c r="G40" s="122">
        <f t="shared" si="23"/>
        <v>1.9922277023612018</v>
      </c>
      <c r="H40" s="122">
        <f t="shared" si="23"/>
        <v>0.79689108094448091</v>
      </c>
      <c r="I40" s="122">
        <f t="shared" si="23"/>
        <v>0.52</v>
      </c>
      <c r="J40" s="123">
        <f t="shared" si="23"/>
        <v>0.52</v>
      </c>
      <c r="K40" s="124" t="s">
        <v>66</v>
      </c>
      <c r="L40" s="122">
        <f>(4*B$2+3*G40)^2/(4*B$2+3*$G$10)^2</f>
        <v>1</v>
      </c>
      <c r="M40" s="122">
        <f>(4*C$2+3*H40)^2/(4*C$2+3*$H$10)^2</f>
        <v>1</v>
      </c>
      <c r="N40" s="122">
        <f>(4*D$2+3*I40)^2/(4*D$2+3*$I$10)^2</f>
        <v>1.241271438011966</v>
      </c>
      <c r="O40" s="123">
        <f>(4*E$2+3*J40)^2/(4*E$2+3*$J$10)^2</f>
        <v>2.5674777478081112</v>
      </c>
    </row>
    <row r="41" spans="1:15" x14ac:dyDescent="0.25">
      <c r="A41" s="124" t="s">
        <v>67</v>
      </c>
      <c r="B41" s="122">
        <f t="shared" si="22"/>
        <v>0.62</v>
      </c>
      <c r="C41" s="122">
        <f t="shared" si="22"/>
        <v>0.62</v>
      </c>
      <c r="D41" s="122">
        <f t="shared" si="22"/>
        <v>0.62</v>
      </c>
      <c r="E41" s="123">
        <f t="shared" si="22"/>
        <v>0.62</v>
      </c>
      <c r="F41" s="124" t="s">
        <v>67</v>
      </c>
      <c r="G41" s="122">
        <f t="shared" si="23"/>
        <v>0.21999999999999997</v>
      </c>
      <c r="H41" s="122">
        <f t="shared" si="23"/>
        <v>0.21999999999999997</v>
      </c>
      <c r="I41" s="122">
        <f t="shared" si="23"/>
        <v>0.21999999999999997</v>
      </c>
      <c r="J41" s="123">
        <f t="shared" si="23"/>
        <v>0.21999999999999997</v>
      </c>
      <c r="K41" s="124" t="s">
        <v>67</v>
      </c>
      <c r="L41" s="122">
        <f>(4*B$2+3*G41)^2/(4*B$2+3*$G$11)^2</f>
        <v>1.0522570153433242</v>
      </c>
      <c r="M41" s="122">
        <f>(4*C$2+3*H41)^2/(4*C$2+3*$H$11)^2</f>
        <v>1.2567800298932228</v>
      </c>
      <c r="N41" s="122">
        <f>(4*D$2+3*I41)^2/(4*D$2+3*$I$11)^2</f>
        <v>1.6379879495869305</v>
      </c>
      <c r="O41" s="123">
        <f>(4*E$2+3*J41)^2/(4*E$2+3*$J$11)^2</f>
        <v>2.5516646468888826</v>
      </c>
    </row>
    <row r="42" spans="1:15" ht="28.9" customHeight="1" x14ac:dyDescent="0.25">
      <c r="A42" s="198" t="s">
        <v>74</v>
      </c>
      <c r="B42" s="199"/>
      <c r="C42" s="199"/>
      <c r="D42" s="199"/>
      <c r="E42" s="200"/>
      <c r="F42" s="198" t="s">
        <v>74</v>
      </c>
      <c r="G42" s="199"/>
      <c r="H42" s="199"/>
      <c r="I42" s="199"/>
      <c r="J42" s="200"/>
      <c r="K42" s="198" t="s">
        <v>74</v>
      </c>
      <c r="L42" s="199"/>
      <c r="M42" s="199"/>
      <c r="N42" s="199"/>
      <c r="O42" s="200"/>
    </row>
    <row r="43" spans="1:15" x14ac:dyDescent="0.25">
      <c r="A43" s="119"/>
      <c r="B43" s="120" t="s">
        <v>17</v>
      </c>
      <c r="C43" s="120" t="s">
        <v>18</v>
      </c>
      <c r="D43" s="120" t="s">
        <v>19</v>
      </c>
      <c r="E43" s="121" t="s">
        <v>20</v>
      </c>
      <c r="F43" s="119"/>
      <c r="G43" s="120" t="s">
        <v>17</v>
      </c>
      <c r="H43" s="120" t="s">
        <v>18</v>
      </c>
      <c r="I43" s="120" t="s">
        <v>19</v>
      </c>
      <c r="J43" s="121" t="s">
        <v>20</v>
      </c>
      <c r="K43" s="119"/>
      <c r="L43" s="120" t="s">
        <v>17</v>
      </c>
      <c r="M43" s="120" t="s">
        <v>18</v>
      </c>
      <c r="N43" s="120" t="s">
        <v>19</v>
      </c>
      <c r="O43" s="121" t="s">
        <v>20</v>
      </c>
    </row>
    <row r="44" spans="1:15" x14ac:dyDescent="0.25">
      <c r="A44" s="119" t="s">
        <v>65</v>
      </c>
      <c r="B44" s="122">
        <f t="shared" ref="B44:E46" si="24">G44+$G2</f>
        <v>3.8003250431580802</v>
      </c>
      <c r="C44" s="122">
        <f t="shared" si="24"/>
        <v>1.550130017263232</v>
      </c>
      <c r="D44" s="122">
        <f t="shared" si="24"/>
        <v>0.800065008631616</v>
      </c>
      <c r="E44" s="122">
        <f t="shared" si="24"/>
        <v>0.42503250431580797</v>
      </c>
      <c r="F44" s="119" t="s">
        <v>65</v>
      </c>
      <c r="G44" s="122">
        <f t="shared" ref="G44:J46" si="25">MAX(B$2,(((1+3*$G2)*B$2*B$2*PI()/$G2)^0.5-4*B$2)/3)</f>
        <v>3.7503250431580804</v>
      </c>
      <c r="H44" s="122">
        <f t="shared" si="25"/>
        <v>1.5001300172632319</v>
      </c>
      <c r="I44" s="122">
        <f t="shared" si="25"/>
        <v>0.75006500863161596</v>
      </c>
      <c r="J44" s="123">
        <f t="shared" si="25"/>
        <v>0.37503250431580798</v>
      </c>
      <c r="K44" s="119" t="s">
        <v>65</v>
      </c>
      <c r="L44" s="122">
        <f>(4*B$2+3*G44)^2/(4*B$2+3*$G$9)^2</f>
        <v>1</v>
      </c>
      <c r="M44" s="122">
        <f>(4*C$2+3*H44)^2/(4*C$2+3*$H$9)^2</f>
        <v>1</v>
      </c>
      <c r="N44" s="122">
        <f>(4*D$2+3*I44)^2/(4*D$2+3*$I$9)^2</f>
        <v>1</v>
      </c>
      <c r="O44" s="123">
        <f>(4*E$2+3*J44)^2/(4*E$2+3*$J$9)^2</f>
        <v>1</v>
      </c>
    </row>
    <row r="45" spans="1:15" x14ac:dyDescent="0.25">
      <c r="A45" s="124" t="s">
        <v>66</v>
      </c>
      <c r="B45" s="122">
        <f t="shared" si="24"/>
        <v>2.6</v>
      </c>
      <c r="C45" s="122">
        <f t="shared" si="24"/>
        <v>1.1000000000000001</v>
      </c>
      <c r="D45" s="122">
        <f t="shared" si="24"/>
        <v>0.6</v>
      </c>
      <c r="E45" s="122">
        <f t="shared" si="24"/>
        <v>0.35</v>
      </c>
      <c r="F45" s="124" t="s">
        <v>66</v>
      </c>
      <c r="G45" s="122">
        <f t="shared" si="25"/>
        <v>2.5</v>
      </c>
      <c r="H45" s="122">
        <f t="shared" si="25"/>
        <v>1</v>
      </c>
      <c r="I45" s="122">
        <f t="shared" si="25"/>
        <v>0.5</v>
      </c>
      <c r="J45" s="123">
        <f t="shared" si="25"/>
        <v>0.25</v>
      </c>
      <c r="K45" s="124" t="s">
        <v>66</v>
      </c>
      <c r="L45" s="122">
        <f>(4*B$2+3*G45)^2/(4*B$2+3*$G$10)^2</f>
        <v>1.1997834171542883</v>
      </c>
      <c r="M45" s="122">
        <f>(4*C$2+3*H45)^2/(4*C$2+3*$H$10)^2</f>
        <v>1.1997834171542878</v>
      </c>
      <c r="N45" s="122">
        <f>(4*D$2+3*I45)^2/(4*D$2+3*$I$10)^2</f>
        <v>1.1997834171542878</v>
      </c>
      <c r="O45" s="123">
        <f>(4*E$2+3*J45)^2/(4*E$2+3*$J$10)^2</f>
        <v>1.1997834171542878</v>
      </c>
    </row>
    <row r="46" spans="1:15" ht="15.75" thickBot="1" x14ac:dyDescent="0.3">
      <c r="A46" s="126" t="s">
        <v>67</v>
      </c>
      <c r="B46" s="127">
        <f t="shared" si="24"/>
        <v>2.9</v>
      </c>
      <c r="C46" s="127">
        <f t="shared" si="24"/>
        <v>1.4</v>
      </c>
      <c r="D46" s="127">
        <f t="shared" si="24"/>
        <v>0.9</v>
      </c>
      <c r="E46" s="127">
        <f t="shared" si="24"/>
        <v>0.65</v>
      </c>
      <c r="F46" s="126" t="s">
        <v>67</v>
      </c>
      <c r="G46" s="127">
        <f t="shared" si="25"/>
        <v>2.5</v>
      </c>
      <c r="H46" s="127">
        <f t="shared" si="25"/>
        <v>1</v>
      </c>
      <c r="I46" s="127">
        <f t="shared" si="25"/>
        <v>0.5</v>
      </c>
      <c r="J46" s="128">
        <f t="shared" si="25"/>
        <v>0.25</v>
      </c>
      <c r="K46" s="126" t="s">
        <v>67</v>
      </c>
      <c r="L46" s="127">
        <f>(4*B$2+3*G46)^2/(4*B$2+3*$G$11)^2</f>
        <v>2.8358517132737719</v>
      </c>
      <c r="M46" s="127">
        <f>(4*C$2+3*H46)^2/(4*C$2+3*$H$11)^2</f>
        <v>2.8358517132737711</v>
      </c>
      <c r="N46" s="127">
        <f>(4*D$2+3*I46)^2/(4*D$2+3*$I$11)^2</f>
        <v>2.8358517132737711</v>
      </c>
      <c r="O46" s="128">
        <f>(4*E$2+3*J46)^2/(4*E$2+3*$J$11)^2</f>
        <v>2.8358517132737711</v>
      </c>
    </row>
  </sheetData>
  <mergeCells count="31">
    <mergeCell ref="A37:E37"/>
    <mergeCell ref="F37:J37"/>
    <mergeCell ref="K37:O37"/>
    <mergeCell ref="A42:E42"/>
    <mergeCell ref="F42:J42"/>
    <mergeCell ref="K42:O42"/>
    <mergeCell ref="A27:E27"/>
    <mergeCell ref="F27:J27"/>
    <mergeCell ref="K27:O27"/>
    <mergeCell ref="A32:E32"/>
    <mergeCell ref="F32:J32"/>
    <mergeCell ref="K32:O32"/>
    <mergeCell ref="A17:E17"/>
    <mergeCell ref="F17:J17"/>
    <mergeCell ref="K17:O17"/>
    <mergeCell ref="A22:E22"/>
    <mergeCell ref="F22:J22"/>
    <mergeCell ref="K22:O22"/>
    <mergeCell ref="K6:O6"/>
    <mergeCell ref="A7:E7"/>
    <mergeCell ref="F7:J7"/>
    <mergeCell ref="K7:O7"/>
    <mergeCell ref="A12:E12"/>
    <mergeCell ref="F12:J12"/>
    <mergeCell ref="K12:O12"/>
    <mergeCell ref="G1:I1"/>
    <mergeCell ref="G2:I2"/>
    <mergeCell ref="G3:I3"/>
    <mergeCell ref="G4:I4"/>
    <mergeCell ref="A6:E6"/>
    <mergeCell ref="F6:J6"/>
  </mergeCells>
  <conditionalFormatting sqref="B9:E11">
    <cfRule type="colorScale" priority="10">
      <colorScale>
        <cfvo type="min"/>
        <cfvo type="num" val="1"/>
        <color theme="8"/>
        <color theme="0"/>
      </colorScale>
    </cfRule>
  </conditionalFormatting>
  <conditionalFormatting sqref="B14:E16">
    <cfRule type="colorScale" priority="9">
      <colorScale>
        <cfvo type="min"/>
        <cfvo type="num" val="1"/>
        <color theme="8"/>
        <color theme="0"/>
      </colorScale>
    </cfRule>
  </conditionalFormatting>
  <conditionalFormatting sqref="B34:E36">
    <cfRule type="colorScale" priority="8">
      <colorScale>
        <cfvo type="min"/>
        <cfvo type="num" val="1"/>
        <color theme="8"/>
        <color theme="0"/>
      </colorScale>
    </cfRule>
  </conditionalFormatting>
  <conditionalFormatting sqref="B39:E41">
    <cfRule type="cellIs" dxfId="15" priority="3" operator="equal">
      <formula>$J$2</formula>
    </cfRule>
    <cfRule type="colorScale" priority="7">
      <colorScale>
        <cfvo type="min"/>
        <cfvo type="num" val="1"/>
        <color theme="8"/>
        <color theme="0"/>
      </colorScale>
    </cfRule>
  </conditionalFormatting>
  <conditionalFormatting sqref="B19:E21">
    <cfRule type="colorScale" priority="6">
      <colorScale>
        <cfvo type="min"/>
        <cfvo type="num" val="1"/>
        <color theme="8"/>
        <color theme="0"/>
      </colorScale>
    </cfRule>
  </conditionalFormatting>
  <conditionalFormatting sqref="B24:E26">
    <cfRule type="colorScale" priority="5">
      <colorScale>
        <cfvo type="min"/>
        <cfvo type="num" val="1"/>
        <color theme="8"/>
        <color theme="0"/>
      </colorScale>
    </cfRule>
  </conditionalFormatting>
  <conditionalFormatting sqref="B29:E31">
    <cfRule type="colorScale" priority="4">
      <colorScale>
        <cfvo type="min"/>
        <cfvo type="num" val="1"/>
        <color theme="8"/>
        <color theme="0"/>
      </colorScale>
    </cfRule>
  </conditionalFormatting>
  <conditionalFormatting sqref="G34:J36">
    <cfRule type="cellIs" dxfId="14" priority="2" operator="equal">
      <formula>0.5</formula>
    </cfRule>
  </conditionalFormatting>
  <conditionalFormatting sqref="B44:E46">
    <cfRule type="colorScale" priority="1">
      <colorScale>
        <cfvo type="min"/>
        <cfvo type="num" val="1"/>
        <color theme="8"/>
        <color theme="0"/>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358396FCA4A54EB4F4D1F86E6A4DC4" ma:contentTypeVersion="9" ma:contentTypeDescription="Create a new document." ma:contentTypeScope="" ma:versionID="f6aa33383f02650d39992b0cffffc1db">
  <xsd:schema xmlns:xsd="http://www.w3.org/2001/XMLSchema" xmlns:xs="http://www.w3.org/2001/XMLSchema" xmlns:p="http://schemas.microsoft.com/office/2006/metadata/properties" xmlns:ns2="0a096ac1-7be1-4bb6-a41d-a9705a5149d4" targetNamespace="http://schemas.microsoft.com/office/2006/metadata/properties" ma:root="true" ma:fieldsID="178d6967b349657d249beed9c8aab00f" ns2:_="">
    <xsd:import namespace="0a096ac1-7be1-4bb6-a41d-a9705a5149d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096ac1-7be1-4bb6-a41d-a9705a514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0CC4C9-47C5-4566-824E-15EC26E3B0EF}"/>
</file>

<file path=customXml/itemProps2.xml><?xml version="1.0" encoding="utf-8"?>
<ds:datastoreItem xmlns:ds="http://schemas.openxmlformats.org/officeDocument/2006/customXml" ds:itemID="{BE8351FC-E397-49F7-BA40-4ABDF974E89F}"/>
</file>

<file path=customXml/itemProps3.xml><?xml version="1.0" encoding="utf-8"?>
<ds:datastoreItem xmlns:ds="http://schemas.openxmlformats.org/officeDocument/2006/customXml" ds:itemID="{86556872-DA95-4C68-80DB-C77B9E52C6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Grafiek volume</vt:lpstr>
      <vt:lpstr>Pivot volume</vt:lpstr>
      <vt:lpstr>Grafiek oppervlakte</vt:lpstr>
      <vt:lpstr>1. Volume inkuiping</vt:lpstr>
      <vt:lpstr>2. Oppervlakte inkuiping</vt:lpstr>
      <vt:lpstr>3. Volume volgens brutovolume</vt:lpstr>
      <vt:lpstr>4. Opp. volgens brutovolume</vt:lpstr>
      <vt:lpstr>5. Vloeistofstraal één tank</vt:lpstr>
      <vt:lpstr>6. Vloeistofstraal vier tanks</vt:lpstr>
      <vt:lpstr>7.Vloeistofstraal IBC op hoogte</vt:lpstr>
      <vt:lpstr>8.Vloeistofstraal tankcontainer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Vander Aa Sander</dc:creator>
  <cp:lastModifiedBy>Vander Aa Sander</cp:lastModifiedBy>
  <dcterms:created xsi:type="dcterms:W3CDTF">2018-08-01T10:11:00Z</dcterms:created>
  <dcterms:modified xsi:type="dcterms:W3CDTF">2021-04-20T19:48:49Z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0x010100EC358396FCA4A54EB4F4D1F86E6A4DC4</vt:lpwstr>
  </property>
</Properties>
</file>