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045" windowHeight="3330" tabRatio="964" activeTab="6"/>
  </bookViews>
  <sheets>
    <sheet name="Scenario 1" sheetId="9" r:id="rId1"/>
    <sheet name="Scenario 2" sheetId="11" r:id="rId2"/>
    <sheet name="Scenario 2 (aangepast)" sheetId="21" r:id="rId3"/>
    <sheet name="Omzet, TW, bedrijfsresultaat .." sheetId="3" r:id="rId4"/>
    <sheet name="Ogenblikkelijke ~ Gemiddelde" sheetId="17" r:id="rId5"/>
    <sheet name="Ingenomen volumes (%)" sheetId="16" r:id="rId6"/>
    <sheet name="Fictief vb." sheetId="22" r:id="rId7"/>
  </sheets>
  <externalReferences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H57" i="22"/>
  <c r="H55"/>
  <c r="H54"/>
  <c r="C10" i="16"/>
  <c r="C6" i="22"/>
  <c r="G50" l="1"/>
  <c r="G39"/>
  <c r="E6"/>
  <c r="F53"/>
  <c r="E53"/>
  <c r="C53"/>
  <c r="D53" s="1"/>
  <c r="E52"/>
  <c r="C52"/>
  <c r="D52" s="1"/>
  <c r="C51"/>
  <c r="D51" s="1"/>
  <c r="C50"/>
  <c r="D50" s="1"/>
  <c r="F49"/>
  <c r="C49"/>
  <c r="D49" s="1"/>
  <c r="C48"/>
  <c r="D48" s="1"/>
  <c r="C47"/>
  <c r="D47" s="1"/>
  <c r="C46"/>
  <c r="D46" s="1"/>
  <c r="C45"/>
  <c r="D45" s="1"/>
  <c r="E44"/>
  <c r="C44"/>
  <c r="D44" s="1"/>
  <c r="C43"/>
  <c r="D43" s="1"/>
  <c r="C42"/>
  <c r="D42" s="1"/>
  <c r="C41"/>
  <c r="D41" s="1"/>
  <c r="C40"/>
  <c r="D40" s="1"/>
  <c r="C39"/>
  <c r="D39" s="1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D6"/>
  <c r="E49" l="1"/>
  <c r="F44"/>
  <c r="F45"/>
  <c r="E48"/>
  <c r="E41"/>
  <c r="E43"/>
  <c r="F48"/>
  <c r="F52"/>
  <c r="F40"/>
  <c r="E40"/>
  <c r="F41"/>
  <c r="E45"/>
  <c r="E47"/>
  <c r="E51"/>
  <c r="F46"/>
  <c r="F42"/>
  <c r="F50"/>
  <c r="E42"/>
  <c r="F43"/>
  <c r="E46"/>
  <c r="F47"/>
  <c r="E50"/>
  <c r="F51"/>
  <c r="F39"/>
  <c r="E39"/>
  <c r="Q11" i="21"/>
  <c r="P11"/>
  <c r="O11"/>
  <c r="N11"/>
  <c r="M11"/>
  <c r="L11"/>
  <c r="K11"/>
  <c r="J11"/>
  <c r="I11"/>
  <c r="H11"/>
  <c r="G11"/>
  <c r="F11"/>
  <c r="E11"/>
  <c r="D11"/>
  <c r="C11"/>
  <c r="Q2" i="17"/>
  <c r="Q14" i="21" s="1"/>
  <c r="Q17" s="1"/>
  <c r="L2" i="17"/>
  <c r="B2"/>
  <c r="C13" i="11" s="1"/>
  <c r="C4" i="16" s="1"/>
  <c r="H13" i="11"/>
  <c r="H4" i="16" s="1"/>
  <c r="G13" i="9"/>
  <c r="O13"/>
  <c r="C3" i="17" l="1"/>
  <c r="P13" i="21"/>
  <c r="P16" s="1"/>
  <c r="L13"/>
  <c r="L16" s="1"/>
  <c r="H13"/>
  <c r="H16" s="1"/>
  <c r="P13" i="11"/>
  <c r="P4" i="16" s="1"/>
  <c r="D13" i="21"/>
  <c r="D16" s="1"/>
  <c r="C13"/>
  <c r="C16" s="1"/>
  <c r="G13"/>
  <c r="G16" s="1"/>
  <c r="K13"/>
  <c r="K16" s="1"/>
  <c r="O13"/>
  <c r="O16" s="1"/>
  <c r="L14"/>
  <c r="L17" s="1"/>
  <c r="L18" s="1"/>
  <c r="L21" s="1"/>
  <c r="L24" s="1"/>
  <c r="M3" i="17"/>
  <c r="F13" i="21"/>
  <c r="F16" s="1"/>
  <c r="J13"/>
  <c r="J16" s="1"/>
  <c r="N13"/>
  <c r="N16" s="1"/>
  <c r="E13"/>
  <c r="E16" s="1"/>
  <c r="I13"/>
  <c r="I16" s="1"/>
  <c r="M13"/>
  <c r="M16" s="1"/>
  <c r="Q13"/>
  <c r="Q16" s="1"/>
  <c r="Q18" s="1"/>
  <c r="Q21" s="1"/>
  <c r="Q24" s="1"/>
  <c r="Q30" s="1"/>
  <c r="K13" i="9"/>
  <c r="Q13"/>
  <c r="D13" i="11"/>
  <c r="D4" i="16" s="1"/>
  <c r="L13" i="11"/>
  <c r="L4" i="16" s="1"/>
  <c r="P13" i="9"/>
  <c r="L13"/>
  <c r="H13"/>
  <c r="D13"/>
  <c r="G13" i="11"/>
  <c r="G4" i="16" s="1"/>
  <c r="K13" i="11"/>
  <c r="K4" i="16" s="1"/>
  <c r="O13" i="11"/>
  <c r="O4" i="16" s="1"/>
  <c r="C13" i="9"/>
  <c r="M13"/>
  <c r="I13"/>
  <c r="E13"/>
  <c r="F13" i="11"/>
  <c r="F4" i="16" s="1"/>
  <c r="J13" i="11"/>
  <c r="J4" i="16" s="1"/>
  <c r="N13" i="11"/>
  <c r="N4" i="16" s="1"/>
  <c r="N13" i="9"/>
  <c r="J13"/>
  <c r="F13"/>
  <c r="E13" i="11"/>
  <c r="E4" i="16" s="1"/>
  <c r="I13" i="11"/>
  <c r="I4" i="16" s="1"/>
  <c r="M13" i="11"/>
  <c r="M4" i="16" s="1"/>
  <c r="Q13" i="11"/>
  <c r="Q4" i="16" s="1"/>
  <c r="C11" i="11"/>
  <c r="L30" i="21" l="1"/>
  <c r="C16" i="11"/>
  <c r="L14"/>
  <c r="Q14"/>
  <c r="Q5" i="16" l="1"/>
  <c r="Q6" s="1"/>
  <c r="L14" i="9"/>
  <c r="Q14"/>
  <c r="L5" i="16"/>
  <c r="L6" s="1"/>
  <c r="M2" i="17"/>
  <c r="M14" i="21" s="1"/>
  <c r="M17" s="1"/>
  <c r="M18" s="1"/>
  <c r="M21" s="1"/>
  <c r="M24" s="1"/>
  <c r="C2" i="17"/>
  <c r="C14" i="21" s="1"/>
  <c r="C17" s="1"/>
  <c r="C18" s="1"/>
  <c r="C21" s="1"/>
  <c r="C24" s="1"/>
  <c r="M30" l="1"/>
  <c r="C30"/>
  <c r="C14" i="11"/>
  <c r="C14" i="9"/>
  <c r="M14" i="11"/>
  <c r="M5" i="16" s="1"/>
  <c r="M6" s="1"/>
  <c r="M14" i="9"/>
  <c r="N2" i="17"/>
  <c r="N14" i="21" s="1"/>
  <c r="N17" s="1"/>
  <c r="N18" s="1"/>
  <c r="N21" s="1"/>
  <c r="N24" s="1"/>
  <c r="D2" i="17"/>
  <c r="D14" i="21" s="1"/>
  <c r="D17" s="1"/>
  <c r="D18" s="1"/>
  <c r="D21" s="1"/>
  <c r="D24" s="1"/>
  <c r="D30" l="1"/>
  <c r="N30"/>
  <c r="D14" i="11"/>
  <c r="D5" i="16" s="1"/>
  <c r="D6" s="1"/>
  <c r="D14" i="9"/>
  <c r="E2" i="17"/>
  <c r="E14" i="21" s="1"/>
  <c r="E17" s="1"/>
  <c r="E18" s="1"/>
  <c r="E21" s="1"/>
  <c r="E24" s="1"/>
  <c r="C17" i="11"/>
  <c r="C5" i="16"/>
  <c r="C6" s="1"/>
  <c r="N14" i="11"/>
  <c r="N5" i="16" s="1"/>
  <c r="N6" s="1"/>
  <c r="N14" i="9"/>
  <c r="O2" i="17"/>
  <c r="O14" i="21" s="1"/>
  <c r="O17" s="1"/>
  <c r="O18" s="1"/>
  <c r="O21" s="1"/>
  <c r="O24" s="1"/>
  <c r="E30" l="1"/>
  <c r="O30"/>
  <c r="C18" i="11"/>
  <c r="C21" s="1"/>
  <c r="P2" i="17"/>
  <c r="P14" i="21" s="1"/>
  <c r="P17" s="1"/>
  <c r="P18" s="1"/>
  <c r="P21" s="1"/>
  <c r="P24" s="1"/>
  <c r="O14" i="11"/>
  <c r="O5" i="16" s="1"/>
  <c r="O6" s="1"/>
  <c r="O14" i="9"/>
  <c r="F2" i="17"/>
  <c r="F14" i="21" s="1"/>
  <c r="F17" s="1"/>
  <c r="F18" s="1"/>
  <c r="F21" s="1"/>
  <c r="F24" s="1"/>
  <c r="E14" i="11"/>
  <c r="E5" i="16" s="1"/>
  <c r="E6" s="1"/>
  <c r="E14" i="9"/>
  <c r="N10" i="16"/>
  <c r="Q8"/>
  <c r="P8"/>
  <c r="O8"/>
  <c r="N8"/>
  <c r="M8"/>
  <c r="L8"/>
  <c r="K8"/>
  <c r="J8"/>
  <c r="I8"/>
  <c r="H8"/>
  <c r="G8"/>
  <c r="F8"/>
  <c r="E8"/>
  <c r="D8"/>
  <c r="C8"/>
  <c r="Q2"/>
  <c r="Q10" s="1"/>
  <c r="P2"/>
  <c r="O2"/>
  <c r="N2"/>
  <c r="M2"/>
  <c r="M10" s="1"/>
  <c r="L2"/>
  <c r="L10" s="1"/>
  <c r="K2"/>
  <c r="J2"/>
  <c r="I2"/>
  <c r="H2"/>
  <c r="G2"/>
  <c r="F2"/>
  <c r="E2"/>
  <c r="D2"/>
  <c r="D10" s="1"/>
  <c r="C2"/>
  <c r="F30" i="21" l="1"/>
  <c r="P30"/>
  <c r="L32" i="11"/>
  <c r="L32" i="21"/>
  <c r="L35" s="1"/>
  <c r="D32" i="11"/>
  <c r="D32" i="21"/>
  <c r="D35" s="1"/>
  <c r="C32" i="11"/>
  <c r="C32" i="21"/>
  <c r="C35" s="1"/>
  <c r="M32" i="11"/>
  <c r="M32" i="21"/>
  <c r="M35" s="1"/>
  <c r="Q32" i="11"/>
  <c r="Q32" i="21"/>
  <c r="Q35" s="1"/>
  <c r="N32" i="11"/>
  <c r="N32" i="21"/>
  <c r="N35" s="1"/>
  <c r="E10" i="16"/>
  <c r="E32" i="21" s="1"/>
  <c r="E35" s="1"/>
  <c r="O10" i="16"/>
  <c r="O32" i="21" s="1"/>
  <c r="O35" s="1"/>
  <c r="C24" i="11"/>
  <c r="P14"/>
  <c r="P5" i="16" s="1"/>
  <c r="P6" s="1"/>
  <c r="P14" i="9"/>
  <c r="G2" i="17"/>
  <c r="G14" i="21" s="1"/>
  <c r="G17" s="1"/>
  <c r="G18" s="1"/>
  <c r="G21" s="1"/>
  <c r="G24" s="1"/>
  <c r="F14" i="11"/>
  <c r="F5" i="16" s="1"/>
  <c r="F6" s="1"/>
  <c r="F14" i="9"/>
  <c r="C11" i="16"/>
  <c r="M11"/>
  <c r="Q11"/>
  <c r="D11"/>
  <c r="L11"/>
  <c r="N11"/>
  <c r="E36" i="21" l="1"/>
  <c r="E43"/>
  <c r="E45" s="1"/>
  <c r="E44"/>
  <c r="E46" s="1"/>
  <c r="O36"/>
  <c r="O43"/>
  <c r="O45" s="1"/>
  <c r="O44"/>
  <c r="O46" s="1"/>
  <c r="Q44"/>
  <c r="Q46" s="1"/>
  <c r="Q36"/>
  <c r="Q43"/>
  <c r="Q45" s="1"/>
  <c r="C43"/>
  <c r="C45" s="1"/>
  <c r="C44"/>
  <c r="C46" s="1"/>
  <c r="C36"/>
  <c r="L44"/>
  <c r="L46" s="1"/>
  <c r="L36"/>
  <c r="L43"/>
  <c r="L45" s="1"/>
  <c r="C35" i="11"/>
  <c r="G30" i="21"/>
  <c r="N36"/>
  <c r="N43"/>
  <c r="N45" s="1"/>
  <c r="N44"/>
  <c r="N46" s="1"/>
  <c r="M44"/>
  <c r="M46" s="1"/>
  <c r="M36"/>
  <c r="M43"/>
  <c r="M45" s="1"/>
  <c r="D43"/>
  <c r="D45" s="1"/>
  <c r="D44"/>
  <c r="D46" s="1"/>
  <c r="D36"/>
  <c r="E32" i="11"/>
  <c r="O11" i="16"/>
  <c r="O32" i="11"/>
  <c r="E11" i="16"/>
  <c r="C44" i="11"/>
  <c r="C46" s="1"/>
  <c r="C43"/>
  <c r="C45" s="1"/>
  <c r="C30"/>
  <c r="F10" i="16"/>
  <c r="P10"/>
  <c r="H2" i="17"/>
  <c r="H14" i="21" s="1"/>
  <c r="H17" s="1"/>
  <c r="H18" s="1"/>
  <c r="H21" s="1"/>
  <c r="H24" s="1"/>
  <c r="G14" i="11"/>
  <c r="G5" i="16" s="1"/>
  <c r="G6" s="1"/>
  <c r="G14" i="9"/>
  <c r="Q11" i="11"/>
  <c r="P11"/>
  <c r="O11"/>
  <c r="N11"/>
  <c r="M11"/>
  <c r="L11"/>
  <c r="K11"/>
  <c r="J11"/>
  <c r="I11"/>
  <c r="H11"/>
  <c r="G11"/>
  <c r="F11"/>
  <c r="E11"/>
  <c r="D11"/>
  <c r="D11" i="9"/>
  <c r="E11"/>
  <c r="F11"/>
  <c r="G11"/>
  <c r="H11"/>
  <c r="I11"/>
  <c r="J11"/>
  <c r="K11"/>
  <c r="L11"/>
  <c r="M11"/>
  <c r="N11"/>
  <c r="O11"/>
  <c r="P11"/>
  <c r="Q11"/>
  <c r="C11"/>
  <c r="F32" i="11" l="1"/>
  <c r="F32" i="21"/>
  <c r="F35" s="1"/>
  <c r="H30"/>
  <c r="P32" i="11"/>
  <c r="P32" i="21"/>
  <c r="P35" s="1"/>
  <c r="I2" i="17"/>
  <c r="I14" i="21" s="1"/>
  <c r="I17" s="1"/>
  <c r="I18" s="1"/>
  <c r="I21" s="1"/>
  <c r="I24" s="1"/>
  <c r="H14" i="11"/>
  <c r="H5" i="16" s="1"/>
  <c r="H6" s="1"/>
  <c r="H14" i="9"/>
  <c r="F11" i="16"/>
  <c r="G10"/>
  <c r="P11"/>
  <c r="M17" i="11"/>
  <c r="Q17"/>
  <c r="P17"/>
  <c r="O17"/>
  <c r="N17"/>
  <c r="L17"/>
  <c r="G17"/>
  <c r="F17"/>
  <c r="E17"/>
  <c r="D17"/>
  <c r="Q16"/>
  <c r="P16"/>
  <c r="O16"/>
  <c r="N16"/>
  <c r="M16"/>
  <c r="L16"/>
  <c r="K16"/>
  <c r="J16"/>
  <c r="I16"/>
  <c r="H16"/>
  <c r="G16"/>
  <c r="F16"/>
  <c r="E16"/>
  <c r="D16"/>
  <c r="P43" i="21" l="1"/>
  <c r="P45" s="1"/>
  <c r="P44"/>
  <c r="P46" s="1"/>
  <c r="P36"/>
  <c r="F44"/>
  <c r="F46" s="1"/>
  <c r="F36"/>
  <c r="F43"/>
  <c r="F45" s="1"/>
  <c r="I30"/>
  <c r="G32" i="11"/>
  <c r="G32" i="21"/>
  <c r="G35" s="1"/>
  <c r="H17" i="11"/>
  <c r="H18" s="1"/>
  <c r="H21" s="1"/>
  <c r="H24" s="1"/>
  <c r="G11" i="16"/>
  <c r="J2" i="17"/>
  <c r="J14" i="21" s="1"/>
  <c r="J17" s="1"/>
  <c r="J18" s="1"/>
  <c r="J21" s="1"/>
  <c r="J24" s="1"/>
  <c r="I14" i="11"/>
  <c r="I14" i="9"/>
  <c r="H10" i="16"/>
  <c r="O18" i="11"/>
  <c r="O21" s="1"/>
  <c r="O24" s="1"/>
  <c r="O35" s="1"/>
  <c r="O44" s="1"/>
  <c r="O46" s="1"/>
  <c r="G18"/>
  <c r="G21" s="1"/>
  <c r="G24" s="1"/>
  <c r="G30" s="1"/>
  <c r="M18"/>
  <c r="M21" s="1"/>
  <c r="M24" s="1"/>
  <c r="M30" s="1"/>
  <c r="E18"/>
  <c r="E21" s="1"/>
  <c r="E24" s="1"/>
  <c r="Q18"/>
  <c r="Q21" s="1"/>
  <c r="Q24" s="1"/>
  <c r="F18"/>
  <c r="F21" s="1"/>
  <c r="F24" s="1"/>
  <c r="N18"/>
  <c r="N21" s="1"/>
  <c r="N24" s="1"/>
  <c r="D18"/>
  <c r="D21" s="1"/>
  <c r="D24" s="1"/>
  <c r="L18"/>
  <c r="L21" s="1"/>
  <c r="L24" s="1"/>
  <c r="P18"/>
  <c r="P21" s="1"/>
  <c r="P24" s="1"/>
  <c r="Q17" i="9"/>
  <c r="P17"/>
  <c r="O17"/>
  <c r="N17"/>
  <c r="M17"/>
  <c r="L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J30" i="21" l="1"/>
  <c r="G36"/>
  <c r="G43"/>
  <c r="G45" s="1"/>
  <c r="G44"/>
  <c r="G46" s="1"/>
  <c r="H32" i="11"/>
  <c r="H32" i="21"/>
  <c r="H35" s="1"/>
  <c r="O30" i="11"/>
  <c r="H11" i="16"/>
  <c r="I5"/>
  <c r="I6" s="1"/>
  <c r="I17" i="11"/>
  <c r="I18" s="1"/>
  <c r="I21" s="1"/>
  <c r="I24" s="1"/>
  <c r="K2" i="17"/>
  <c r="K14" i="21" s="1"/>
  <c r="K17" s="1"/>
  <c r="K18" s="1"/>
  <c r="K21" s="1"/>
  <c r="K24" s="1"/>
  <c r="J14" i="11"/>
  <c r="J14" i="9"/>
  <c r="J17" s="1"/>
  <c r="J18" s="1"/>
  <c r="J21" s="1"/>
  <c r="M35" i="11"/>
  <c r="M44" s="1"/>
  <c r="M46" s="1"/>
  <c r="G35"/>
  <c r="G44" s="1"/>
  <c r="G46" s="1"/>
  <c r="P30"/>
  <c r="L30"/>
  <c r="H30"/>
  <c r="F35"/>
  <c r="F44" s="1"/>
  <c r="F46" s="1"/>
  <c r="D30"/>
  <c r="E35"/>
  <c r="E44" s="1"/>
  <c r="E46" s="1"/>
  <c r="Q35"/>
  <c r="Q44" s="1"/>
  <c r="Q46" s="1"/>
  <c r="Q30"/>
  <c r="N35"/>
  <c r="N44" s="1"/>
  <c r="N46" s="1"/>
  <c r="N30"/>
  <c r="I30"/>
  <c r="O43"/>
  <c r="O45" s="1"/>
  <c r="O36"/>
  <c r="P35"/>
  <c r="P44" s="1"/>
  <c r="P46" s="1"/>
  <c r="E18" i="9"/>
  <c r="E21" s="1"/>
  <c r="E24" s="1"/>
  <c r="G18"/>
  <c r="G21" s="1"/>
  <c r="G24" s="1"/>
  <c r="I18"/>
  <c r="I21" s="1"/>
  <c r="M18"/>
  <c r="M21" s="1"/>
  <c r="M24" s="1"/>
  <c r="O18"/>
  <c r="O21" s="1"/>
  <c r="O24" s="1"/>
  <c r="Q18"/>
  <c r="Q21" s="1"/>
  <c r="C18"/>
  <c r="C21" s="1"/>
  <c r="C24" s="1"/>
  <c r="D18"/>
  <c r="D21" s="1"/>
  <c r="F18"/>
  <c r="F21" s="1"/>
  <c r="F24" s="1"/>
  <c r="H18"/>
  <c r="H21" s="1"/>
  <c r="L18"/>
  <c r="L21" s="1"/>
  <c r="N18"/>
  <c r="N21" s="1"/>
  <c r="N24" s="1"/>
  <c r="P18"/>
  <c r="P21" s="1"/>
  <c r="H43" i="21" l="1"/>
  <c r="H45" s="1"/>
  <c r="H44"/>
  <c r="H46" s="1"/>
  <c r="H36"/>
  <c r="K30"/>
  <c r="Q43" i="11"/>
  <c r="Q45" s="1"/>
  <c r="K14"/>
  <c r="K14" i="9"/>
  <c r="K17" s="1"/>
  <c r="K18" s="1"/>
  <c r="K21" s="1"/>
  <c r="K24" s="1"/>
  <c r="K30" s="1"/>
  <c r="I10" i="16"/>
  <c r="J5"/>
  <c r="J6" s="1"/>
  <c r="J17" i="11"/>
  <c r="J18" s="1"/>
  <c r="J21" s="1"/>
  <c r="J24" s="1"/>
  <c r="J30" s="1"/>
  <c r="M43"/>
  <c r="M45" s="1"/>
  <c r="F36"/>
  <c r="E43"/>
  <c r="E45" s="1"/>
  <c r="M36"/>
  <c r="C30" i="9"/>
  <c r="P24"/>
  <c r="P30" s="1"/>
  <c r="L24"/>
  <c r="L30" s="1"/>
  <c r="H24"/>
  <c r="H30" s="1"/>
  <c r="D24"/>
  <c r="D30" s="1"/>
  <c r="Q24"/>
  <c r="Q30" s="1"/>
  <c r="I24"/>
  <c r="I30" s="1"/>
  <c r="J24"/>
  <c r="J30" s="1"/>
  <c r="G36" i="11"/>
  <c r="G43"/>
  <c r="G45" s="1"/>
  <c r="L35"/>
  <c r="L44" s="1"/>
  <c r="L46" s="1"/>
  <c r="C36"/>
  <c r="F43"/>
  <c r="F45" s="1"/>
  <c r="D35"/>
  <c r="D44" s="1"/>
  <c r="D46" s="1"/>
  <c r="E36"/>
  <c r="N36"/>
  <c r="Q36"/>
  <c r="H35"/>
  <c r="H44" s="1"/>
  <c r="H46" s="1"/>
  <c r="E30"/>
  <c r="F30"/>
  <c r="N43"/>
  <c r="N45" s="1"/>
  <c r="P36"/>
  <c r="P43"/>
  <c r="P45" s="1"/>
  <c r="E30" i="9"/>
  <c r="E26"/>
  <c r="Q27"/>
  <c r="N27"/>
  <c r="N26"/>
  <c r="I32" i="11" l="1"/>
  <c r="I32" i="21"/>
  <c r="I35" s="1"/>
  <c r="H26" i="9"/>
  <c r="J26"/>
  <c r="H27"/>
  <c r="P26"/>
  <c r="Q26"/>
  <c r="I11" i="16"/>
  <c r="I35" i="11"/>
  <c r="P27" i="9"/>
  <c r="J10" i="16"/>
  <c r="K5"/>
  <c r="K6" s="1"/>
  <c r="K17" i="11"/>
  <c r="K18" s="1"/>
  <c r="K21" s="1"/>
  <c r="K24" s="1"/>
  <c r="D28" i="9"/>
  <c r="L36" i="11"/>
  <c r="L28" i="9"/>
  <c r="D26"/>
  <c r="D27"/>
  <c r="H28"/>
  <c r="L26"/>
  <c r="L27"/>
  <c r="P28"/>
  <c r="Q28"/>
  <c r="I27"/>
  <c r="C27"/>
  <c r="C26"/>
  <c r="C28"/>
  <c r="D36" i="11"/>
  <c r="L43"/>
  <c r="L45" s="1"/>
  <c r="H36"/>
  <c r="H43"/>
  <c r="H45" s="1"/>
  <c r="D43"/>
  <c r="D45" s="1"/>
  <c r="F28" i="9"/>
  <c r="F30"/>
  <c r="G26"/>
  <c r="G30"/>
  <c r="N28"/>
  <c r="N30"/>
  <c r="M28"/>
  <c r="M30"/>
  <c r="E28"/>
  <c r="O27"/>
  <c r="O30"/>
  <c r="M26"/>
  <c r="M27"/>
  <c r="G28"/>
  <c r="G27"/>
  <c r="F27"/>
  <c r="K26"/>
  <c r="E27"/>
  <c r="O28"/>
  <c r="F26"/>
  <c r="O26"/>
  <c r="K27"/>
  <c r="K28"/>
  <c r="J28"/>
  <c r="J27"/>
  <c r="I26"/>
  <c r="I28"/>
  <c r="I44" i="21" l="1"/>
  <c r="I46" s="1"/>
  <c r="I36"/>
  <c r="I43"/>
  <c r="I45" s="1"/>
  <c r="J32" i="11"/>
  <c r="J32" i="21"/>
  <c r="J35" s="1"/>
  <c r="J35" i="11"/>
  <c r="J11" i="16"/>
  <c r="K30" i="11"/>
  <c r="K10" i="16"/>
  <c r="I44" i="11"/>
  <c r="I46" s="1"/>
  <c r="I43"/>
  <c r="I45" s="1"/>
  <c r="I36"/>
  <c r="J43" i="21" l="1"/>
  <c r="J45" s="1"/>
  <c r="J44"/>
  <c r="J46" s="1"/>
  <c r="J36"/>
  <c r="K32" i="11"/>
  <c r="K32" i="21"/>
  <c r="K35" s="1"/>
  <c r="K11" i="16"/>
  <c r="K35" i="11"/>
  <c r="J44"/>
  <c r="J46" s="1"/>
  <c r="J43"/>
  <c r="J45" s="1"/>
  <c r="J36"/>
  <c r="K44" i="21" l="1"/>
  <c r="K46" s="1"/>
  <c r="K36"/>
  <c r="K43"/>
  <c r="K45" s="1"/>
  <c r="K44" i="11"/>
  <c r="K46" s="1"/>
  <c r="K36"/>
  <c r="K43"/>
  <c r="K45" s="1"/>
</calcChain>
</file>

<file path=xl/sharedStrings.xml><?xml version="1.0" encoding="utf-8"?>
<sst xmlns="http://schemas.openxmlformats.org/spreadsheetml/2006/main" count="297" uniqueCount="83">
  <si>
    <t>[kg/jaar]</t>
  </si>
  <si>
    <t>[m³/d]</t>
  </si>
  <si>
    <t>[d/jaar]</t>
  </si>
  <si>
    <t>[%]</t>
  </si>
  <si>
    <t>[€/kg]</t>
  </si>
  <si>
    <t>[€/jaar]</t>
  </si>
  <si>
    <t>[kg/kg (CZV)]</t>
  </si>
  <si>
    <t>Totale jaarlijkse kost/Omzet</t>
  </si>
  <si>
    <t>Totale jaarlijkse kost/Toegevoegde waarde</t>
  </si>
  <si>
    <t>Totale jaarlijkse kost/Bedrijfsresultaat</t>
  </si>
  <si>
    <t/>
  </si>
  <si>
    <t>Naam</t>
  </si>
  <si>
    <t>Gemeente</t>
  </si>
  <si>
    <t>Laatste jaar</t>
  </si>
  <si>
    <t>Omzet EUR 2009</t>
  </si>
  <si>
    <t>Toegevoegde waarde EUR 2009</t>
  </si>
  <si>
    <t>Bedrijfs- resultaat EUR 2009</t>
  </si>
  <si>
    <t>Aanschaffingen met inbegrip van materiële vaste activa EUR 2009</t>
  </si>
  <si>
    <t>Mediaan</t>
  </si>
  <si>
    <t>[€/m³]</t>
  </si>
  <si>
    <t>[€/m³.100 km]</t>
  </si>
  <si>
    <t>[km]</t>
  </si>
  <si>
    <t>Debiet</t>
  </si>
  <si>
    <t>Werkingsduur</t>
  </si>
  <si>
    <t>Emisse CZV vóór</t>
  </si>
  <si>
    <t>Emissie CZV na</t>
  </si>
  <si>
    <t>Reductie CZV</t>
  </si>
  <si>
    <t>Benodigde hoeveelheid actief kool</t>
  </si>
  <si>
    <t>Kost actief kool (incl. terugname en reactivitatie)</t>
  </si>
  <si>
    <t>Operationele kosten voor transport</t>
  </si>
  <si>
    <t>Max. ogenblikkelijke concentratie CZV vóór</t>
  </si>
  <si>
    <t>Max. ogenblikkelijke concentratie CZV na</t>
  </si>
  <si>
    <t>Gem. prijs vóór</t>
  </si>
  <si>
    <t>Gem. prijs na</t>
  </si>
  <si>
    <t>vóór = zonder intensievere actief kool behandeling</t>
  </si>
  <si>
    <t>na = met intensievere actief kool behandeling</t>
  </si>
  <si>
    <t>Jaarlijks gem. concentratie CZV vóór</t>
  </si>
  <si>
    <t>Jaarlijks gem. concentratie CZV na</t>
  </si>
  <si>
    <r>
      <t>[mg 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/l]</t>
    </r>
  </si>
  <si>
    <t>Totale kost</t>
  </si>
  <si>
    <t>[€/kg (CZV)]</t>
  </si>
  <si>
    <t>Rendement actief kool filter</t>
  </si>
  <si>
    <t>[l/d]</t>
  </si>
  <si>
    <t>[mg O2/l]</t>
  </si>
  <si>
    <t>Gem. meerkost</t>
  </si>
  <si>
    <t>Gem. prijs voor verbanding</t>
  </si>
  <si>
    <t>Reductiestappen</t>
  </si>
  <si>
    <t>Ingenomen volumes waaraan kosten worden doorgerekend</t>
  </si>
  <si>
    <t>Ogenblikkelijk</t>
  </si>
  <si>
    <t>Scenario 2: Kosten van intensievere actief kool behandeling
 doorgerekend aan klant</t>
  </si>
  <si>
    <t>Scenario 1: Kosten van intensievere actief kool behandeling
niet doorgerekend aan klant</t>
  </si>
  <si>
    <t>Verhouding</t>
  </si>
  <si>
    <t>Antwerpen</t>
  </si>
  <si>
    <t>Diksmuide</t>
  </si>
  <si>
    <t>Wielsbeke</t>
  </si>
  <si>
    <t>Gent</t>
  </si>
  <si>
    <t>Roeselare</t>
  </si>
  <si>
    <t>Oostrozebeke</t>
  </si>
  <si>
    <t>Evergem</t>
  </si>
  <si>
    <t>Geel</t>
  </si>
  <si>
    <t>-</t>
  </si>
  <si>
    <t>Afstand heen &amp; terug</t>
  </si>
  <si>
    <t>Afstand enkel</t>
  </si>
  <si>
    <t>van Opdorp naar verwerker in …</t>
  </si>
  <si>
    <t>Hautrage (WOS)</t>
  </si>
  <si>
    <t>Engis (Revatech)</t>
  </si>
  <si>
    <t>Monsin (Revatech)</t>
  </si>
  <si>
    <t>Bron: FEBEM</t>
  </si>
  <si>
    <t>Afstand (enkel)</t>
  </si>
  <si>
    <t>Prijs</t>
  </si>
  <si>
    <t>Prijs voor transport van externe afvalwaters (incl. laden en lossen)</t>
  </si>
  <si>
    <t>[€]</t>
  </si>
  <si>
    <t>[€/km]</t>
  </si>
  <si>
    <t>Transport via pompwagen (niet ADR), 30 m³</t>
  </si>
  <si>
    <t>Bronnen:</t>
  </si>
  <si>
    <r>
      <t xml:space="preserve">Afstand (enkel) </t>
    </r>
    <r>
      <rPr>
        <vertAlign val="superscript"/>
        <sz val="10"/>
        <color theme="1"/>
        <rFont val="Verdana"/>
        <family val="2"/>
      </rPr>
      <t>1</t>
    </r>
  </si>
  <si>
    <t>1: Googlemaps</t>
  </si>
  <si>
    <t>2: Gebaseerd op extrapolatie prijsgegevens van FEBEM</t>
  </si>
  <si>
    <r>
      <t xml:space="preserve">Prijs </t>
    </r>
    <r>
      <rPr>
        <vertAlign val="superscript"/>
        <sz val="10"/>
        <color theme="1"/>
        <rFont val="Verdana"/>
        <family val="2"/>
      </rPr>
      <t>2</t>
    </r>
  </si>
  <si>
    <t>Gem. verschil in prijs [€/m³]</t>
  </si>
  <si>
    <r>
      <t>[mg 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/l]</t>
    </r>
  </si>
  <si>
    <t>Verschil in afstand [km]:</t>
  </si>
  <si>
    <t>Verschil in prijs [€/m³]: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</si>
</sst>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vertAlign val="subscript"/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color theme="0"/>
      <name val="Verdana"/>
      <family val="2"/>
    </font>
    <font>
      <vertAlign val="subscript"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3" fontId="1" fillId="0" borderId="1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2" fillId="0" borderId="0" xfId="0" applyFont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1" xfId="0" applyFont="1" applyBorder="1"/>
    <xf numFmtId="4" fontId="1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0" fontId="4" fillId="0" borderId="1" xfId="0" applyFont="1" applyFill="1" applyBorder="1"/>
    <xf numFmtId="4" fontId="4" fillId="0" borderId="1" xfId="0" applyNumberFormat="1" applyFont="1" applyFill="1" applyBorder="1"/>
    <xf numFmtId="1" fontId="1" fillId="0" borderId="1" xfId="0" applyNumberFormat="1" applyFont="1" applyBorder="1"/>
    <xf numFmtId="2" fontId="1" fillId="0" borderId="1" xfId="0" applyNumberFormat="1" applyFont="1" applyBorder="1"/>
    <xf numFmtId="9" fontId="1" fillId="0" borderId="1" xfId="0" applyNumberFormat="1" applyFont="1" applyBorder="1"/>
    <xf numFmtId="164" fontId="1" fillId="0" borderId="1" xfId="0" applyNumberFormat="1" applyFont="1" applyBorder="1"/>
    <xf numFmtId="4" fontId="4" fillId="2" borderId="1" xfId="0" applyNumberFormat="1" applyFont="1" applyFill="1" applyBorder="1"/>
    <xf numFmtId="10" fontId="1" fillId="0" borderId="1" xfId="0" applyNumberFormat="1" applyFont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9" fontId="1" fillId="0" borderId="0" xfId="0" applyNumberFormat="1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0" fontId="6" fillId="0" borderId="0" xfId="0" applyFont="1" applyBorder="1"/>
    <xf numFmtId="165" fontId="1" fillId="0" borderId="0" xfId="0" applyNumberFormat="1" applyFont="1" applyBorder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0" fontId="1" fillId="0" borderId="1" xfId="1" applyNumberFormat="1" applyFont="1" applyFill="1" applyBorder="1" applyAlignment="1">
      <alignment horizontal="right" vertical="top" wrapText="1"/>
    </xf>
    <xf numFmtId="9" fontId="1" fillId="0" borderId="1" xfId="1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/>
    </xf>
    <xf numFmtId="10" fontId="1" fillId="2" borderId="1" xfId="1" applyNumberFormat="1" applyFont="1" applyFill="1" applyBorder="1" applyAlignment="1">
      <alignment horizontal="right" vertical="top" wrapText="1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165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Fill="1"/>
    <xf numFmtId="0" fontId="9" fillId="0" borderId="0" xfId="0" applyFont="1" applyFill="1" applyBorder="1"/>
    <xf numFmtId="2" fontId="9" fillId="0" borderId="0" xfId="0" applyNumberFormat="1" applyFont="1" applyFill="1" applyBorder="1"/>
    <xf numFmtId="9" fontId="4" fillId="0" borderId="1" xfId="1" applyFont="1" applyBorder="1"/>
    <xf numFmtId="9" fontId="4" fillId="0" borderId="1" xfId="0" applyNumberFormat="1" applyFont="1" applyBorder="1"/>
    <xf numFmtId="164" fontId="4" fillId="0" borderId="1" xfId="0" applyNumberFormat="1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7.0473488664479889E-2"/>
                  <c:y val="0.17107957116645686"/>
                </c:manualLayout>
              </c:layout>
              <c:numFmt formatCode="General" sourceLinked="0"/>
            </c:trendlineLbl>
          </c:trendline>
          <c:xVal>
            <c:numRef>
              <c:f>[2]Blad1!$B$4:$B$11</c:f>
              <c:numCache>
                <c:formatCode>General</c:formatCode>
                <c:ptCount val="8"/>
                <c:pt idx="0">
                  <c:v>40</c:v>
                </c:pt>
                <c:pt idx="1">
                  <c:v>130</c:v>
                </c:pt>
                <c:pt idx="2">
                  <c:v>75</c:v>
                </c:pt>
                <c:pt idx="3">
                  <c:v>50</c:v>
                </c:pt>
                <c:pt idx="4">
                  <c:v>82</c:v>
                </c:pt>
                <c:pt idx="5">
                  <c:v>105</c:v>
                </c:pt>
                <c:pt idx="6">
                  <c:v>135</c:v>
                </c:pt>
                <c:pt idx="7">
                  <c:v>115</c:v>
                </c:pt>
              </c:numCache>
            </c:numRef>
          </c:xVal>
          <c:yVal>
            <c:numRef>
              <c:f>[2]Blad1!$C$4:$C$11</c:f>
              <c:numCache>
                <c:formatCode>General</c:formatCode>
                <c:ptCount val="8"/>
                <c:pt idx="0">
                  <c:v>240</c:v>
                </c:pt>
                <c:pt idx="1">
                  <c:v>330</c:v>
                </c:pt>
                <c:pt idx="2">
                  <c:v>270</c:v>
                </c:pt>
                <c:pt idx="3">
                  <c:v>240</c:v>
                </c:pt>
                <c:pt idx="4">
                  <c:v>290</c:v>
                </c:pt>
                <c:pt idx="5">
                  <c:v>330</c:v>
                </c:pt>
                <c:pt idx="6">
                  <c:v>340</c:v>
                </c:pt>
                <c:pt idx="7">
                  <c:v>340</c:v>
                </c:pt>
              </c:numCache>
            </c:numRef>
          </c:yVal>
        </c:ser>
        <c:axId val="86460672"/>
        <c:axId val="86487424"/>
      </c:scatterChart>
      <c:valAx>
        <c:axId val="86460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Astand (enkel) in km</a:t>
                </a:r>
              </a:p>
            </c:rich>
          </c:tx>
          <c:layout/>
        </c:title>
        <c:numFmt formatCode="General" sourceLinked="1"/>
        <c:tickLblPos val="nextTo"/>
        <c:crossAx val="86487424"/>
        <c:crosses val="autoZero"/>
        <c:crossBetween val="midCat"/>
      </c:valAx>
      <c:valAx>
        <c:axId val="864874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l-BE"/>
                  <a:t>Prijs voor transport in €</a:t>
                </a:r>
              </a:p>
            </c:rich>
          </c:tx>
          <c:layout/>
        </c:title>
        <c:numFmt formatCode="General" sourceLinked="1"/>
        <c:tickLblPos val="nextTo"/>
        <c:crossAx val="86460672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76200</xdr:rowOff>
    </xdr:from>
    <xdr:to>
      <xdr:col>4</xdr:col>
      <xdr:colOff>600075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UET/BBTKenniscentrum/BBT-studies%20in%20voorbereiding/BBT-studie%20Externe%20bedrijfsafvalwaters/4%20Wetenschappelijke%20output/Rapporten/Vierde%20draft/Andere/Gemiddelde%20CZ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fstand%20tussen%20de%20diverse%20verwerkingscent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ZV 2009"/>
      <sheetName val="CZV 2009 (2)"/>
      <sheetName val="CZV 2010"/>
      <sheetName val="CZV 2010 (2)"/>
      <sheetName val="CZV 2011"/>
      <sheetName val="CZV 2011 (2)"/>
      <sheetName val="Sheet1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>
            <v>0.52800000000000002</v>
          </cell>
          <cell r="G1">
            <v>0.57199999999999995</v>
          </cell>
          <cell r="K1">
            <v>0.65600000000000003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Chart1"/>
      <sheetName val="Sheet1"/>
    </sheetNames>
    <sheetDataSet>
      <sheetData sheetId="0">
        <row r="4">
          <cell r="B4">
            <v>40</v>
          </cell>
          <cell r="C4">
            <v>240</v>
          </cell>
        </row>
        <row r="5">
          <cell r="B5">
            <v>130</v>
          </cell>
          <cell r="C5">
            <v>330</v>
          </cell>
        </row>
        <row r="6">
          <cell r="B6">
            <v>75</v>
          </cell>
          <cell r="C6">
            <v>270</v>
          </cell>
        </row>
        <row r="7">
          <cell r="B7">
            <v>50</v>
          </cell>
          <cell r="C7">
            <v>240</v>
          </cell>
        </row>
        <row r="8">
          <cell r="B8">
            <v>82</v>
          </cell>
          <cell r="C8">
            <v>290</v>
          </cell>
        </row>
        <row r="9">
          <cell r="B9">
            <v>105</v>
          </cell>
          <cell r="C9">
            <v>330</v>
          </cell>
        </row>
        <row r="10">
          <cell r="B10">
            <v>135</v>
          </cell>
          <cell r="C10">
            <v>340</v>
          </cell>
        </row>
        <row r="11">
          <cell r="B11">
            <v>115</v>
          </cell>
          <cell r="C11">
            <v>340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="80" zoomScaleNormal="80" workbookViewId="0"/>
  </sheetViews>
  <sheetFormatPr defaultRowHeight="12.75"/>
  <cols>
    <col min="1" max="1" width="73.7109375" style="21" bestFit="1" customWidth="1"/>
    <col min="2" max="2" width="16" style="21" bestFit="1" customWidth="1"/>
    <col min="3" max="17" width="13.28515625" style="21" customWidth="1"/>
    <col min="18" max="16384" width="9.140625" style="21"/>
  </cols>
  <sheetData>
    <row r="1" spans="1:17" ht="25.5">
      <c r="A1" s="33" t="s">
        <v>50</v>
      </c>
    </row>
    <row r="3" spans="1:17">
      <c r="C3" s="67" t="s">
        <v>46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</row>
    <row r="4" spans="1:17" s="31" customFormat="1">
      <c r="C4" s="32">
        <v>1</v>
      </c>
      <c r="D4" s="32">
        <v>2</v>
      </c>
      <c r="E4" s="32">
        <v>3</v>
      </c>
      <c r="F4" s="32">
        <v>4</v>
      </c>
      <c r="G4" s="32">
        <v>5</v>
      </c>
      <c r="H4" s="32">
        <v>6</v>
      </c>
      <c r="I4" s="32">
        <v>7</v>
      </c>
      <c r="J4" s="32">
        <v>8</v>
      </c>
      <c r="K4" s="32">
        <v>9</v>
      </c>
      <c r="L4" s="32">
        <v>10</v>
      </c>
      <c r="M4" s="32">
        <v>11</v>
      </c>
      <c r="N4" s="32">
        <v>12</v>
      </c>
      <c r="O4" s="32">
        <v>13</v>
      </c>
      <c r="P4" s="32">
        <v>14</v>
      </c>
      <c r="Q4" s="32">
        <v>15</v>
      </c>
    </row>
    <row r="5" spans="1:17" s="22" customFormat="1">
      <c r="A5" s="34" t="s">
        <v>22</v>
      </c>
      <c r="B5" s="34" t="s">
        <v>1</v>
      </c>
      <c r="C5" s="37">
        <v>300</v>
      </c>
      <c r="D5" s="37">
        <v>300</v>
      </c>
      <c r="E5" s="37">
        <v>300</v>
      </c>
      <c r="F5" s="37">
        <v>300</v>
      </c>
      <c r="G5" s="37">
        <v>300</v>
      </c>
      <c r="H5" s="37">
        <v>300</v>
      </c>
      <c r="I5" s="37">
        <v>300</v>
      </c>
      <c r="J5" s="37">
        <v>300</v>
      </c>
      <c r="K5" s="37">
        <v>300</v>
      </c>
      <c r="L5" s="37">
        <v>300</v>
      </c>
      <c r="M5" s="37">
        <v>300</v>
      </c>
      <c r="N5" s="37">
        <v>300</v>
      </c>
      <c r="O5" s="37">
        <v>300</v>
      </c>
      <c r="P5" s="37">
        <v>300</v>
      </c>
      <c r="Q5" s="37">
        <v>300</v>
      </c>
    </row>
    <row r="6" spans="1:17">
      <c r="A6" s="32"/>
      <c r="B6" s="32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23" customFormat="1">
      <c r="A7" s="35" t="s">
        <v>23</v>
      </c>
      <c r="B7" s="35" t="s">
        <v>2</v>
      </c>
      <c r="C7" s="39">
        <v>365</v>
      </c>
      <c r="D7" s="39">
        <v>365</v>
      </c>
      <c r="E7" s="39">
        <v>365</v>
      </c>
      <c r="F7" s="39">
        <v>365</v>
      </c>
      <c r="G7" s="39">
        <v>365</v>
      </c>
      <c r="H7" s="39">
        <v>365</v>
      </c>
      <c r="I7" s="39">
        <v>365</v>
      </c>
      <c r="J7" s="39">
        <v>365</v>
      </c>
      <c r="K7" s="39">
        <v>365</v>
      </c>
      <c r="L7" s="39">
        <v>365</v>
      </c>
      <c r="M7" s="39">
        <v>365</v>
      </c>
      <c r="N7" s="39">
        <v>365</v>
      </c>
      <c r="O7" s="39">
        <v>365</v>
      </c>
      <c r="P7" s="39">
        <v>365</v>
      </c>
      <c r="Q7" s="39">
        <v>365</v>
      </c>
    </row>
    <row r="8" spans="1:17">
      <c r="A8" s="32"/>
      <c r="B8" s="32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4.25">
      <c r="A9" s="32" t="s">
        <v>30</v>
      </c>
      <c r="B9" s="32" t="s">
        <v>38</v>
      </c>
      <c r="C9" s="37">
        <v>500</v>
      </c>
      <c r="D9" s="37">
        <v>500</v>
      </c>
      <c r="E9" s="37">
        <v>500</v>
      </c>
      <c r="F9" s="37">
        <v>500</v>
      </c>
      <c r="G9" s="37">
        <v>500</v>
      </c>
      <c r="H9" s="37">
        <v>500</v>
      </c>
      <c r="I9" s="37">
        <v>500</v>
      </c>
      <c r="J9" s="37">
        <v>500</v>
      </c>
      <c r="K9" s="37">
        <v>500</v>
      </c>
      <c r="L9" s="37">
        <v>500</v>
      </c>
      <c r="M9" s="37">
        <v>500</v>
      </c>
      <c r="N9" s="37">
        <v>500</v>
      </c>
      <c r="O9" s="37">
        <v>500</v>
      </c>
      <c r="P9" s="37">
        <v>500</v>
      </c>
      <c r="Q9" s="37">
        <v>500</v>
      </c>
    </row>
    <row r="10" spans="1:17" ht="14.25">
      <c r="A10" s="32" t="s">
        <v>31</v>
      </c>
      <c r="B10" s="32" t="s">
        <v>38</v>
      </c>
      <c r="C10" s="37">
        <v>475</v>
      </c>
      <c r="D10" s="37">
        <v>450</v>
      </c>
      <c r="E10" s="37">
        <v>425</v>
      </c>
      <c r="F10" s="37">
        <v>400</v>
      </c>
      <c r="G10" s="37">
        <v>375</v>
      </c>
      <c r="H10" s="37">
        <v>350</v>
      </c>
      <c r="I10" s="37">
        <v>325</v>
      </c>
      <c r="J10" s="37">
        <v>300</v>
      </c>
      <c r="K10" s="37">
        <v>275</v>
      </c>
      <c r="L10" s="37">
        <v>250</v>
      </c>
      <c r="M10" s="37">
        <v>225</v>
      </c>
      <c r="N10" s="37">
        <v>200</v>
      </c>
      <c r="O10" s="37">
        <v>175</v>
      </c>
      <c r="P10" s="37">
        <v>150</v>
      </c>
      <c r="Q10" s="37">
        <v>125</v>
      </c>
    </row>
    <row r="11" spans="1:17" ht="14.25">
      <c r="A11" s="32" t="s">
        <v>26</v>
      </c>
      <c r="B11" s="32" t="s">
        <v>38</v>
      </c>
      <c r="C11" s="37">
        <f>C9-C10</f>
        <v>25</v>
      </c>
      <c r="D11" s="37">
        <f t="shared" ref="D11:Q11" si="0">D9-D10</f>
        <v>50</v>
      </c>
      <c r="E11" s="37">
        <f t="shared" si="0"/>
        <v>75</v>
      </c>
      <c r="F11" s="37">
        <f t="shared" si="0"/>
        <v>100</v>
      </c>
      <c r="G11" s="37">
        <f t="shared" si="0"/>
        <v>125</v>
      </c>
      <c r="H11" s="37">
        <f t="shared" si="0"/>
        <v>150</v>
      </c>
      <c r="I11" s="37">
        <f t="shared" si="0"/>
        <v>175</v>
      </c>
      <c r="J11" s="37">
        <f t="shared" si="0"/>
        <v>200</v>
      </c>
      <c r="K11" s="37">
        <f t="shared" si="0"/>
        <v>225</v>
      </c>
      <c r="L11" s="37">
        <f t="shared" si="0"/>
        <v>250</v>
      </c>
      <c r="M11" s="37">
        <f t="shared" si="0"/>
        <v>275</v>
      </c>
      <c r="N11" s="37">
        <f t="shared" si="0"/>
        <v>300</v>
      </c>
      <c r="O11" s="37">
        <f t="shared" si="0"/>
        <v>325</v>
      </c>
      <c r="P11" s="37">
        <f t="shared" si="0"/>
        <v>350</v>
      </c>
      <c r="Q11" s="37">
        <f t="shared" si="0"/>
        <v>375</v>
      </c>
    </row>
    <row r="12" spans="1:17" s="22" customFormat="1">
      <c r="A12" s="34"/>
      <c r="B12" s="3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ht="14.25">
      <c r="A13" s="32" t="s">
        <v>36</v>
      </c>
      <c r="B13" s="32" t="s">
        <v>38</v>
      </c>
      <c r="C13" s="37">
        <f>C9*'Ogenblikkelijke ~ Gemiddelde'!$B$2</f>
        <v>264</v>
      </c>
      <c r="D13" s="37">
        <f>D9*'Ogenblikkelijke ~ Gemiddelde'!$B$2</f>
        <v>264</v>
      </c>
      <c r="E13" s="37">
        <f>E9*'Ogenblikkelijke ~ Gemiddelde'!$B$2</f>
        <v>264</v>
      </c>
      <c r="F13" s="37">
        <f>F9*'Ogenblikkelijke ~ Gemiddelde'!$B$2</f>
        <v>264</v>
      </c>
      <c r="G13" s="37">
        <f>G9*'Ogenblikkelijke ~ Gemiddelde'!$B$2</f>
        <v>264</v>
      </c>
      <c r="H13" s="37">
        <f>H9*'Ogenblikkelijke ~ Gemiddelde'!$B$2</f>
        <v>264</v>
      </c>
      <c r="I13" s="37">
        <f>I9*'Ogenblikkelijke ~ Gemiddelde'!$B$2</f>
        <v>264</v>
      </c>
      <c r="J13" s="37">
        <f>J9*'Ogenblikkelijke ~ Gemiddelde'!$B$2</f>
        <v>264</v>
      </c>
      <c r="K13" s="37">
        <f>K9*'Ogenblikkelijke ~ Gemiddelde'!$B$2</f>
        <v>264</v>
      </c>
      <c r="L13" s="37">
        <f>L9*'Ogenblikkelijke ~ Gemiddelde'!$B$2</f>
        <v>264</v>
      </c>
      <c r="M13" s="37">
        <f>M9*'Ogenblikkelijke ~ Gemiddelde'!$B$2</f>
        <v>264</v>
      </c>
      <c r="N13" s="37">
        <f>N9*'Ogenblikkelijke ~ Gemiddelde'!$B$2</f>
        <v>264</v>
      </c>
      <c r="O13" s="37">
        <f>O9*'Ogenblikkelijke ~ Gemiddelde'!$B$2</f>
        <v>264</v>
      </c>
      <c r="P13" s="37">
        <f>P9*'Ogenblikkelijke ~ Gemiddelde'!$B$2</f>
        <v>264</v>
      </c>
      <c r="Q13" s="37">
        <f>Q9*'Ogenblikkelijke ~ Gemiddelde'!$B$2</f>
        <v>264</v>
      </c>
    </row>
    <row r="14" spans="1:17" s="23" customFormat="1" ht="14.25">
      <c r="A14" s="35" t="s">
        <v>37</v>
      </c>
      <c r="B14" s="35" t="s">
        <v>80</v>
      </c>
      <c r="C14" s="40">
        <f>C10*'Ogenblikkelijke ~ Gemiddelde'!C2</f>
        <v>252.89</v>
      </c>
      <c r="D14" s="40">
        <f>D10*'Ogenblikkelijke ~ Gemiddelde'!D2</f>
        <v>241.55999999999997</v>
      </c>
      <c r="E14" s="40">
        <f>E10*'Ogenblikkelijke ~ Gemiddelde'!E2</f>
        <v>230.00999999999996</v>
      </c>
      <c r="F14" s="40">
        <f>F10*'Ogenblikkelijke ~ Gemiddelde'!F2</f>
        <v>218.23999999999995</v>
      </c>
      <c r="G14" s="40">
        <f>G10*'Ogenblikkelijke ~ Gemiddelde'!G2</f>
        <v>206.24999999999994</v>
      </c>
      <c r="H14" s="40">
        <f>H10*'Ogenblikkelijke ~ Gemiddelde'!H2</f>
        <v>194.03999999999994</v>
      </c>
      <c r="I14" s="40">
        <f>I10*'Ogenblikkelijke ~ Gemiddelde'!I2</f>
        <v>181.60999999999993</v>
      </c>
      <c r="J14" s="40">
        <f>J10*'Ogenblikkelijke ~ Gemiddelde'!J2</f>
        <v>168.95999999999992</v>
      </c>
      <c r="K14" s="40">
        <f>K10*'Ogenblikkelijke ~ Gemiddelde'!K2</f>
        <v>156.08999999999992</v>
      </c>
      <c r="L14" s="40">
        <f>L10*'Ogenblikkelijke ~ Gemiddelde'!L2</f>
        <v>143</v>
      </c>
      <c r="M14" s="40">
        <f>M10*'Ogenblikkelijke ~ Gemiddelde'!M2</f>
        <v>132.47999999999999</v>
      </c>
      <c r="N14" s="40">
        <f>N10*'Ogenblikkelijke ~ Gemiddelde'!N2</f>
        <v>121.12</v>
      </c>
      <c r="O14" s="40">
        <f>O10*'Ogenblikkelijke ~ Gemiddelde'!O2</f>
        <v>108.92000000000002</v>
      </c>
      <c r="P14" s="40">
        <f>P10*'Ogenblikkelijke ~ Gemiddelde'!P2</f>
        <v>95.88000000000001</v>
      </c>
      <c r="Q14" s="40">
        <f>Q10*'Ogenblikkelijke ~ Gemiddelde'!Q2</f>
        <v>82</v>
      </c>
    </row>
    <row r="15" spans="1:17" s="22" customFormat="1">
      <c r="A15" s="34"/>
      <c r="B15" s="34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>
      <c r="A16" s="32" t="s">
        <v>24</v>
      </c>
      <c r="B16" s="32" t="s">
        <v>0</v>
      </c>
      <c r="C16" s="38">
        <f>(C5*C7*C13)/1000</f>
        <v>28908</v>
      </c>
      <c r="D16" s="38">
        <f t="shared" ref="D16:Q16" si="1">(D5*D7*D13)/1000</f>
        <v>28908</v>
      </c>
      <c r="E16" s="38">
        <f t="shared" si="1"/>
        <v>28908</v>
      </c>
      <c r="F16" s="38">
        <f t="shared" si="1"/>
        <v>28908</v>
      </c>
      <c r="G16" s="38">
        <f t="shared" si="1"/>
        <v>28908</v>
      </c>
      <c r="H16" s="38">
        <f t="shared" si="1"/>
        <v>28908</v>
      </c>
      <c r="I16" s="38">
        <f t="shared" si="1"/>
        <v>28908</v>
      </c>
      <c r="J16" s="38">
        <f t="shared" si="1"/>
        <v>28908</v>
      </c>
      <c r="K16" s="38">
        <f t="shared" si="1"/>
        <v>28908</v>
      </c>
      <c r="L16" s="38">
        <f t="shared" si="1"/>
        <v>28908</v>
      </c>
      <c r="M16" s="38">
        <f t="shared" si="1"/>
        <v>28908</v>
      </c>
      <c r="N16" s="38">
        <f t="shared" si="1"/>
        <v>28908</v>
      </c>
      <c r="O16" s="38">
        <f t="shared" si="1"/>
        <v>28908</v>
      </c>
      <c r="P16" s="38">
        <f t="shared" si="1"/>
        <v>28908</v>
      </c>
      <c r="Q16" s="38">
        <f t="shared" si="1"/>
        <v>28908</v>
      </c>
    </row>
    <row r="17" spans="1:17">
      <c r="A17" s="32" t="s">
        <v>25</v>
      </c>
      <c r="B17" s="32" t="s">
        <v>0</v>
      </c>
      <c r="C17" s="38">
        <f>(C5*C7*C14)/1000</f>
        <v>27691.455000000002</v>
      </c>
      <c r="D17" s="38">
        <f t="shared" ref="D17:Q17" si="2">(D5*D7*D14)/1000</f>
        <v>26450.819999999996</v>
      </c>
      <c r="E17" s="38">
        <f t="shared" si="2"/>
        <v>25186.094999999998</v>
      </c>
      <c r="F17" s="38">
        <f t="shared" si="2"/>
        <v>23897.279999999995</v>
      </c>
      <c r="G17" s="38">
        <f t="shared" si="2"/>
        <v>22584.374999999993</v>
      </c>
      <c r="H17" s="38">
        <f t="shared" si="2"/>
        <v>21247.379999999994</v>
      </c>
      <c r="I17" s="38">
        <f t="shared" si="2"/>
        <v>19886.294999999991</v>
      </c>
      <c r="J17" s="38">
        <f t="shared" si="2"/>
        <v>18501.119999999992</v>
      </c>
      <c r="K17" s="38">
        <f t="shared" si="2"/>
        <v>17091.854999999992</v>
      </c>
      <c r="L17" s="38">
        <f t="shared" si="2"/>
        <v>15658.5</v>
      </c>
      <c r="M17" s="38">
        <f t="shared" si="2"/>
        <v>14506.559999999998</v>
      </c>
      <c r="N17" s="38">
        <f t="shared" si="2"/>
        <v>13262.64</v>
      </c>
      <c r="O17" s="38">
        <f t="shared" si="2"/>
        <v>11926.740000000002</v>
      </c>
      <c r="P17" s="38">
        <f t="shared" si="2"/>
        <v>10498.860000000002</v>
      </c>
      <c r="Q17" s="38">
        <f t="shared" si="2"/>
        <v>8979</v>
      </c>
    </row>
    <row r="18" spans="1:17">
      <c r="A18" s="32" t="s">
        <v>26</v>
      </c>
      <c r="B18" s="32" t="s">
        <v>0</v>
      </c>
      <c r="C18" s="38">
        <f>C16-C17</f>
        <v>1216.5449999999983</v>
      </c>
      <c r="D18" s="38">
        <f>D16-D17</f>
        <v>2457.1800000000039</v>
      </c>
      <c r="E18" s="38">
        <f>E16-E17</f>
        <v>3721.9050000000025</v>
      </c>
      <c r="F18" s="38">
        <f>F16-F17</f>
        <v>5010.7200000000048</v>
      </c>
      <c r="G18" s="38">
        <f t="shared" ref="G18:Q18" si="3">G16-G17</f>
        <v>6323.6250000000073</v>
      </c>
      <c r="H18" s="38">
        <f t="shared" si="3"/>
        <v>7660.6200000000063</v>
      </c>
      <c r="I18" s="38">
        <f t="shared" si="3"/>
        <v>9021.705000000009</v>
      </c>
      <c r="J18" s="38">
        <f t="shared" si="3"/>
        <v>10406.880000000008</v>
      </c>
      <c r="K18" s="38">
        <f t="shared" si="3"/>
        <v>11816.145000000008</v>
      </c>
      <c r="L18" s="38">
        <f t="shared" si="3"/>
        <v>13249.5</v>
      </c>
      <c r="M18" s="38">
        <f t="shared" si="3"/>
        <v>14401.440000000002</v>
      </c>
      <c r="N18" s="38">
        <f t="shared" si="3"/>
        <v>15645.36</v>
      </c>
      <c r="O18" s="38">
        <f t="shared" si="3"/>
        <v>16981.259999999998</v>
      </c>
      <c r="P18" s="38">
        <f t="shared" si="3"/>
        <v>18409.14</v>
      </c>
      <c r="Q18" s="38">
        <f t="shared" si="3"/>
        <v>19929</v>
      </c>
    </row>
    <row r="19" spans="1:17">
      <c r="A19" s="32"/>
      <c r="B19" s="32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24" customFormat="1">
      <c r="A20" s="36" t="s">
        <v>27</v>
      </c>
      <c r="B20" s="36" t="s">
        <v>6</v>
      </c>
      <c r="C20" s="40">
        <v>5</v>
      </c>
      <c r="D20" s="40">
        <v>5</v>
      </c>
      <c r="E20" s="40">
        <v>5</v>
      </c>
      <c r="F20" s="40">
        <v>5</v>
      </c>
      <c r="G20" s="40">
        <v>5</v>
      </c>
      <c r="H20" s="40">
        <v>5</v>
      </c>
      <c r="I20" s="40">
        <v>5</v>
      </c>
      <c r="J20" s="40">
        <v>5</v>
      </c>
      <c r="K20" s="40">
        <v>5</v>
      </c>
      <c r="L20" s="40">
        <v>5</v>
      </c>
      <c r="M20" s="40">
        <v>5</v>
      </c>
      <c r="N20" s="40">
        <v>5</v>
      </c>
      <c r="O20" s="40">
        <v>5</v>
      </c>
      <c r="P20" s="40">
        <v>5</v>
      </c>
      <c r="Q20" s="40">
        <v>5</v>
      </c>
    </row>
    <row r="21" spans="1:17" s="22" customFormat="1">
      <c r="A21" s="34"/>
      <c r="B21" s="34" t="s">
        <v>0</v>
      </c>
      <c r="C21" s="37">
        <f t="shared" ref="C21:Q21" si="4">C18*C20</f>
        <v>6082.7249999999913</v>
      </c>
      <c r="D21" s="37">
        <f t="shared" si="4"/>
        <v>12285.90000000002</v>
      </c>
      <c r="E21" s="37">
        <f t="shared" si="4"/>
        <v>18609.525000000012</v>
      </c>
      <c r="F21" s="37">
        <f t="shared" si="4"/>
        <v>25053.600000000024</v>
      </c>
      <c r="G21" s="37">
        <f t="shared" si="4"/>
        <v>31618.125000000036</v>
      </c>
      <c r="H21" s="37">
        <f t="shared" si="4"/>
        <v>38303.100000000035</v>
      </c>
      <c r="I21" s="37">
        <f t="shared" si="4"/>
        <v>45108.525000000045</v>
      </c>
      <c r="J21" s="37">
        <f t="shared" si="4"/>
        <v>52034.400000000038</v>
      </c>
      <c r="K21" s="37">
        <f t="shared" si="4"/>
        <v>59080.725000000035</v>
      </c>
      <c r="L21" s="37">
        <f t="shared" si="4"/>
        <v>66247.5</v>
      </c>
      <c r="M21" s="37">
        <f t="shared" si="4"/>
        <v>72007.200000000012</v>
      </c>
      <c r="N21" s="37">
        <f t="shared" si="4"/>
        <v>78226.8</v>
      </c>
      <c r="O21" s="37">
        <f t="shared" si="4"/>
        <v>84906.299999999988</v>
      </c>
      <c r="P21" s="37">
        <f t="shared" si="4"/>
        <v>92045.7</v>
      </c>
      <c r="Q21" s="37">
        <f t="shared" si="4"/>
        <v>99645</v>
      </c>
    </row>
    <row r="22" spans="1:17" s="22" customFormat="1">
      <c r="A22" s="34"/>
      <c r="B22" s="34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s="24" customFormat="1">
      <c r="A23" s="36" t="s">
        <v>28</v>
      </c>
      <c r="B23" s="36" t="s">
        <v>4</v>
      </c>
      <c r="C23" s="40">
        <v>1.17</v>
      </c>
      <c r="D23" s="40">
        <v>1.17</v>
      </c>
      <c r="E23" s="40">
        <v>1.17</v>
      </c>
      <c r="F23" s="40">
        <v>1.17</v>
      </c>
      <c r="G23" s="40">
        <v>1.17</v>
      </c>
      <c r="H23" s="40">
        <v>1.17</v>
      </c>
      <c r="I23" s="40">
        <v>1.17</v>
      </c>
      <c r="J23" s="40">
        <v>1.17</v>
      </c>
      <c r="K23" s="40">
        <v>1.17</v>
      </c>
      <c r="L23" s="40">
        <v>1.17</v>
      </c>
      <c r="M23" s="40">
        <v>1.17</v>
      </c>
      <c r="N23" s="40">
        <v>1.17</v>
      </c>
      <c r="O23" s="40">
        <v>1.17</v>
      </c>
      <c r="P23" s="40">
        <v>1.17</v>
      </c>
      <c r="Q23" s="40">
        <v>1.17</v>
      </c>
    </row>
    <row r="24" spans="1:17">
      <c r="A24" s="32"/>
      <c r="B24" s="32" t="s">
        <v>5</v>
      </c>
      <c r="C24" s="38">
        <f>C21*C23</f>
        <v>7116.7882499999896</v>
      </c>
      <c r="D24" s="38">
        <f t="shared" ref="D24:Q24" si="5">D21*D23</f>
        <v>14374.503000000022</v>
      </c>
      <c r="E24" s="38">
        <f t="shared" si="5"/>
        <v>21773.144250000012</v>
      </c>
      <c r="F24" s="38">
        <f t="shared" si="5"/>
        <v>29312.712000000025</v>
      </c>
      <c r="G24" s="38">
        <f t="shared" si="5"/>
        <v>36993.206250000039</v>
      </c>
      <c r="H24" s="38">
        <f t="shared" si="5"/>
        <v>44814.627000000037</v>
      </c>
      <c r="I24" s="38">
        <f t="shared" si="5"/>
        <v>52776.97425000005</v>
      </c>
      <c r="J24" s="38">
        <f t="shared" si="5"/>
        <v>60880.248000000043</v>
      </c>
      <c r="K24" s="38">
        <f t="shared" si="5"/>
        <v>69124.44825000003</v>
      </c>
      <c r="L24" s="38">
        <f t="shared" si="5"/>
        <v>77509.574999999997</v>
      </c>
      <c r="M24" s="38">
        <f t="shared" si="5"/>
        <v>84248.424000000014</v>
      </c>
      <c r="N24" s="38">
        <f t="shared" si="5"/>
        <v>91525.356</v>
      </c>
      <c r="O24" s="38">
        <f t="shared" si="5"/>
        <v>99340.370999999985</v>
      </c>
      <c r="P24" s="38">
        <f t="shared" si="5"/>
        <v>107693.469</v>
      </c>
      <c r="Q24" s="38">
        <f t="shared" si="5"/>
        <v>116584.65</v>
      </c>
    </row>
    <row r="25" spans="1:17">
      <c r="A25" s="32"/>
      <c r="B25" s="3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>
      <c r="A26" s="32" t="s">
        <v>7</v>
      </c>
      <c r="B26" s="32"/>
      <c r="C26" s="42">
        <f>C24/'Omzet, TW, bedrijfsresultaat ..'!$E$2</f>
        <v>1.0568441119691103E-3</v>
      </c>
      <c r="D26" s="42">
        <f>D24/'Omzet, TW, bedrijfsresultaat ..'!$E$2</f>
        <v>2.1346158301158336E-3</v>
      </c>
      <c r="E26" s="42">
        <f>E24/'Omzet, TW, bedrijfsresultaat ..'!$E$2</f>
        <v>3.233315154440156E-3</v>
      </c>
      <c r="F26" s="42">
        <f>F24/'Omzet, TW, bedrijfsresultaat ..'!$E$2</f>
        <v>4.3529420849420884E-3</v>
      </c>
      <c r="G26" s="42">
        <f>G24/'Omzet, TW, bedrijfsresultaat ..'!$E$2</f>
        <v>5.4934966216216271E-3</v>
      </c>
      <c r="H26" s="42">
        <f>H24/'Omzet, TW, bedrijfsresultaat ..'!$E$2</f>
        <v>6.65497876447877E-3</v>
      </c>
      <c r="I26" s="42">
        <f>I24/'Omzet, TW, bedrijfsresultaat ..'!$E$2</f>
        <v>7.8373885135135206E-3</v>
      </c>
      <c r="J26" s="42">
        <f>J24/'Omzet, TW, bedrijfsresultaat ..'!$E$2</f>
        <v>9.0407258687258754E-3</v>
      </c>
      <c r="K26" s="42">
        <f>K24/'Omzet, TW, bedrijfsresultaat ..'!$E$2</f>
        <v>1.0264990830115835E-2</v>
      </c>
      <c r="L26" s="42">
        <f>L24/'Omzet, TW, bedrijfsresultaat ..'!$E$2</f>
        <v>1.1510183397683397E-2</v>
      </c>
      <c r="M26" s="42">
        <f>M24/'Omzet, TW, bedrijfsresultaat ..'!$E$2</f>
        <v>1.2510903474903476E-2</v>
      </c>
      <c r="N26" s="42">
        <f>N24/'Omzet, TW, bedrijfsresultaat ..'!$E$2</f>
        <v>1.3591528957528957E-2</v>
      </c>
      <c r="O26" s="42">
        <f>O24/'Omzet, TW, bedrijfsresultaat ..'!$E$2</f>
        <v>1.4752059845559844E-2</v>
      </c>
      <c r="P26" s="42">
        <f>P24/'Omzet, TW, bedrijfsresultaat ..'!$E$2</f>
        <v>1.5992496138996139E-2</v>
      </c>
      <c r="Q26" s="42">
        <f>Q24/'Omzet, TW, bedrijfsresultaat ..'!$E$2</f>
        <v>1.7312837837837838E-2</v>
      </c>
    </row>
    <row r="27" spans="1:17">
      <c r="A27" s="32" t="s">
        <v>8</v>
      </c>
      <c r="B27" s="32"/>
      <c r="C27" s="42">
        <f>C24/'Omzet, TW, bedrijfsresultaat ..'!$F$2</f>
        <v>3.8489931043807408E-3</v>
      </c>
      <c r="D27" s="42">
        <f>D24/'Omzet, TW, bedrijfsresultaat ..'!$F$2</f>
        <v>7.7742038939967667E-3</v>
      </c>
      <c r="E27" s="42">
        <f>E24/'Omzet, TW, bedrijfsresultaat ..'!$F$2</f>
        <v>1.1775632368848033E-2</v>
      </c>
      <c r="F27" s="42">
        <f>F24/'Omzet, TW, bedrijfsresultaat ..'!$F$2</f>
        <v>1.5853278528934572E-2</v>
      </c>
      <c r="G27" s="42">
        <f>G24/'Omzet, TW, bedrijfsresultaat ..'!$F$2</f>
        <v>2.0007142374256374E-2</v>
      </c>
      <c r="H27" s="42">
        <f>H24/'Omzet, TW, bedrijfsresultaat ..'!$F$2</f>
        <v>2.4237223904813431E-2</v>
      </c>
      <c r="I27" s="42">
        <f>I24/'Omzet, TW, bedrijfsresultaat ..'!$F$2</f>
        <v>2.8543523120605759E-2</v>
      </c>
      <c r="J27" s="42">
        <f>J24/'Omzet, TW, bedrijfsresultaat ..'!$F$2</f>
        <v>3.2926040021633338E-2</v>
      </c>
      <c r="K27" s="42">
        <f>K24/'Omzet, TW, bedrijfsresultaat ..'!$F$2</f>
        <v>3.7384774607896173E-2</v>
      </c>
      <c r="L27" s="42">
        <f>L24/'Omzet, TW, bedrijfsresultaat ..'!$F$2</f>
        <v>4.1919726879394263E-2</v>
      </c>
      <c r="M27" s="42">
        <f>M24/'Omzet, TW, bedrijfsresultaat ..'!$F$2</f>
        <v>4.5564318009734997E-2</v>
      </c>
      <c r="N27" s="42">
        <f>N24/'Omzet, TW, bedrijfsresultaat ..'!$F$2</f>
        <v>4.9499922120064897E-2</v>
      </c>
      <c r="O27" s="42">
        <f>O24/'Omzet, TW, bedrijfsresultaat ..'!$F$2</f>
        <v>5.3726539210383985E-2</v>
      </c>
      <c r="P27" s="42">
        <f>P24/'Omzet, TW, bedrijfsresultaat ..'!$F$2</f>
        <v>5.8244169280692266E-2</v>
      </c>
      <c r="Q27" s="42">
        <f>Q24/'Omzet, TW, bedrijfsresultaat ..'!$F$2</f>
        <v>6.3052812330989721E-2</v>
      </c>
    </row>
    <row r="28" spans="1:17">
      <c r="A28" s="32" t="s">
        <v>9</v>
      </c>
      <c r="B28" s="32"/>
      <c r="C28" s="43">
        <f>C24/'Omzet, TW, bedrijfsresultaat ..'!$G$2</f>
        <v>7.2992699999999897E-2</v>
      </c>
      <c r="D28" s="43">
        <f>D24/'Omzet, TW, bedrijfsresultaat ..'!$G$2</f>
        <v>0.14743080000000022</v>
      </c>
      <c r="E28" s="43">
        <f>E24/'Omzet, TW, bedrijfsresultaat ..'!$G$2</f>
        <v>0.22331430000000013</v>
      </c>
      <c r="F28" s="43">
        <f>F24/'Omzet, TW, bedrijfsresultaat ..'!$G$2</f>
        <v>0.30064320000000028</v>
      </c>
      <c r="G28" s="43">
        <f>G24/'Omzet, TW, bedrijfsresultaat ..'!$G$2</f>
        <v>0.37941750000000041</v>
      </c>
      <c r="H28" s="43">
        <f>H24/'Omzet, TW, bedrijfsresultaat ..'!$G$2</f>
        <v>0.45963720000000036</v>
      </c>
      <c r="I28" s="43">
        <f>I24/'Omzet, TW, bedrijfsresultaat ..'!$G$2</f>
        <v>0.54130230000000057</v>
      </c>
      <c r="J28" s="43">
        <f>J24/'Omzet, TW, bedrijfsresultaat ..'!$G$2</f>
        <v>0.62441280000000043</v>
      </c>
      <c r="K28" s="43">
        <f>K24/'Omzet, TW, bedrijfsresultaat ..'!$G$2</f>
        <v>0.70896870000000034</v>
      </c>
      <c r="L28" s="43">
        <f>L24/'Omzet, TW, bedrijfsresultaat ..'!$G$2</f>
        <v>0.79496999999999995</v>
      </c>
      <c r="M28" s="43">
        <f>M24/'Omzet, TW, bedrijfsresultaat ..'!$G$2</f>
        <v>0.86408640000000014</v>
      </c>
      <c r="N28" s="43">
        <f>N24/'Omzet, TW, bedrijfsresultaat ..'!$G$2</f>
        <v>0.93872160000000004</v>
      </c>
      <c r="O28" s="43">
        <f>O24/'Omzet, TW, bedrijfsresultaat ..'!$G$2</f>
        <v>1.0188755999999999</v>
      </c>
      <c r="P28" s="43">
        <f>P24/'Omzet, TW, bedrijfsresultaat ..'!$G$2</f>
        <v>1.1045483999999999</v>
      </c>
      <c r="Q28" s="43">
        <f>Q24/'Omzet, TW, bedrijfsresultaat ..'!$G$2</f>
        <v>1.19574</v>
      </c>
    </row>
    <row r="29" spans="1:17">
      <c r="A29" s="32"/>
      <c r="B29" s="3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>
      <c r="A30" s="32" t="s">
        <v>39</v>
      </c>
      <c r="B30" s="32" t="s">
        <v>40</v>
      </c>
      <c r="C30" s="44">
        <f>C24/C18</f>
        <v>5.85</v>
      </c>
      <c r="D30" s="44">
        <f t="shared" ref="D30:Q30" si="6">D24/D18</f>
        <v>5.85</v>
      </c>
      <c r="E30" s="44">
        <f t="shared" si="6"/>
        <v>5.85</v>
      </c>
      <c r="F30" s="44">
        <f t="shared" si="6"/>
        <v>5.85</v>
      </c>
      <c r="G30" s="44">
        <f t="shared" si="6"/>
        <v>5.85</v>
      </c>
      <c r="H30" s="44">
        <f t="shared" si="6"/>
        <v>5.85</v>
      </c>
      <c r="I30" s="44">
        <f t="shared" si="6"/>
        <v>5.85</v>
      </c>
      <c r="J30" s="44">
        <f t="shared" si="6"/>
        <v>5.85</v>
      </c>
      <c r="K30" s="44">
        <f t="shared" si="6"/>
        <v>5.8499999999999988</v>
      </c>
      <c r="L30" s="44">
        <f t="shared" si="6"/>
        <v>5.85</v>
      </c>
      <c r="M30" s="44">
        <f t="shared" si="6"/>
        <v>5.85</v>
      </c>
      <c r="N30" s="44">
        <f t="shared" si="6"/>
        <v>5.85</v>
      </c>
      <c r="O30" s="44">
        <f t="shared" si="6"/>
        <v>5.85</v>
      </c>
      <c r="P30" s="44">
        <f t="shared" si="6"/>
        <v>5.85</v>
      </c>
      <c r="Q30" s="44">
        <f t="shared" si="6"/>
        <v>5.85</v>
      </c>
    </row>
    <row r="31" spans="1:17">
      <c r="C31" s="25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>
      <c r="A32" s="21" t="s">
        <v>34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>
      <c r="A33" s="21" t="s">
        <v>35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6" spans="1:17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</sheetData>
  <mergeCells count="1">
    <mergeCell ref="C3:Q3"/>
  </mergeCells>
  <conditionalFormatting sqref="C26:Q26">
    <cfRule type="cellIs" dxfId="8" priority="13" operator="between">
      <formula>0.005</formula>
      <formula>0.05</formula>
    </cfRule>
    <cfRule type="cellIs" dxfId="7" priority="14" operator="greaterThan">
      <formula>0.05</formula>
    </cfRule>
    <cfRule type="cellIs" dxfId="6" priority="15" operator="lessThan">
      <formula>0.005</formula>
    </cfRule>
  </conditionalFormatting>
  <conditionalFormatting sqref="C27:Q28">
    <cfRule type="cellIs" dxfId="5" priority="10" operator="between">
      <formula>0.02</formula>
      <formula>0.5</formula>
    </cfRule>
    <cfRule type="cellIs" dxfId="4" priority="11" operator="greaterThan">
      <formula>0.5</formula>
    </cfRule>
    <cfRule type="cellIs" dxfId="3" priority="12" operator="lessThan">
      <formula>0.02</formula>
    </cfRule>
  </conditionalFormatting>
  <conditionalFormatting sqref="C28:Q28">
    <cfRule type="cellIs" dxfId="2" priority="7" operator="between">
      <formula>10%</formula>
      <formula>100%</formula>
    </cfRule>
    <cfRule type="cellIs" dxfId="1" priority="8" operator="greaterThan">
      <formula>1</formula>
    </cfRule>
    <cfRule type="cellIs" dxfId="0" priority="9" operator="less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="80" zoomScaleNormal="80" workbookViewId="0"/>
  </sheetViews>
  <sheetFormatPr defaultRowHeight="12.75"/>
  <cols>
    <col min="1" max="1" width="73.7109375" style="21" bestFit="1" customWidth="1"/>
    <col min="2" max="2" width="16.7109375" style="21" bestFit="1" customWidth="1"/>
    <col min="3" max="17" width="13.28515625" style="21" customWidth="1"/>
    <col min="18" max="16384" width="9.140625" style="21"/>
  </cols>
  <sheetData>
    <row r="1" spans="1:17" ht="25.5">
      <c r="A1" s="20" t="s">
        <v>49</v>
      </c>
    </row>
    <row r="3" spans="1:17">
      <c r="C3" s="70" t="s">
        <v>46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>
      <c r="C4" s="32">
        <v>1</v>
      </c>
      <c r="D4" s="32">
        <v>2</v>
      </c>
      <c r="E4" s="32">
        <v>3</v>
      </c>
      <c r="F4" s="32">
        <v>4</v>
      </c>
      <c r="G4" s="32">
        <v>5</v>
      </c>
      <c r="H4" s="32">
        <v>6</v>
      </c>
      <c r="I4" s="32">
        <v>7</v>
      </c>
      <c r="J4" s="32">
        <v>8</v>
      </c>
      <c r="K4" s="32">
        <v>9</v>
      </c>
      <c r="L4" s="32">
        <v>10</v>
      </c>
      <c r="M4" s="32">
        <v>11</v>
      </c>
      <c r="N4" s="32">
        <v>12</v>
      </c>
      <c r="O4" s="32">
        <v>13</v>
      </c>
      <c r="P4" s="32">
        <v>14</v>
      </c>
      <c r="Q4" s="32">
        <v>15</v>
      </c>
    </row>
    <row r="5" spans="1:17" s="22" customFormat="1">
      <c r="A5" s="4" t="s">
        <v>22</v>
      </c>
      <c r="B5" s="4" t="s">
        <v>1</v>
      </c>
      <c r="C5" s="5">
        <v>300</v>
      </c>
      <c r="D5" s="5">
        <v>300</v>
      </c>
      <c r="E5" s="5">
        <v>300</v>
      </c>
      <c r="F5" s="5">
        <v>300</v>
      </c>
      <c r="G5" s="5">
        <v>300</v>
      </c>
      <c r="H5" s="5">
        <v>300</v>
      </c>
      <c r="I5" s="5">
        <v>300</v>
      </c>
      <c r="J5" s="5">
        <v>300</v>
      </c>
      <c r="K5" s="5">
        <v>300</v>
      </c>
      <c r="L5" s="5">
        <v>300</v>
      </c>
      <c r="M5" s="5">
        <v>300</v>
      </c>
      <c r="N5" s="5">
        <v>300</v>
      </c>
      <c r="O5" s="5">
        <v>300</v>
      </c>
      <c r="P5" s="5">
        <v>300</v>
      </c>
      <c r="Q5" s="5">
        <v>300</v>
      </c>
    </row>
    <row r="6" spans="1:17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23" customFormat="1">
      <c r="A7" s="10" t="s">
        <v>23</v>
      </c>
      <c r="B7" s="8" t="s">
        <v>2</v>
      </c>
      <c r="C7" s="9">
        <v>365</v>
      </c>
      <c r="D7" s="9">
        <v>365</v>
      </c>
      <c r="E7" s="9">
        <v>365</v>
      </c>
      <c r="F7" s="9">
        <v>365</v>
      </c>
      <c r="G7" s="9">
        <v>365</v>
      </c>
      <c r="H7" s="9">
        <v>365</v>
      </c>
      <c r="I7" s="9">
        <v>365</v>
      </c>
      <c r="J7" s="9">
        <v>365</v>
      </c>
      <c r="K7" s="9">
        <v>365</v>
      </c>
      <c r="L7" s="9">
        <v>365</v>
      </c>
      <c r="M7" s="9">
        <v>365</v>
      </c>
      <c r="N7" s="9">
        <v>365</v>
      </c>
      <c r="O7" s="9">
        <v>365</v>
      </c>
      <c r="P7" s="9">
        <v>365</v>
      </c>
      <c r="Q7" s="9">
        <v>365</v>
      </c>
    </row>
    <row r="8" spans="1:17">
      <c r="A8" s="4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4" t="s">
        <v>30</v>
      </c>
      <c r="B9" s="6" t="s">
        <v>38</v>
      </c>
      <c r="C9" s="5">
        <v>500</v>
      </c>
      <c r="D9" s="5">
        <v>500</v>
      </c>
      <c r="E9" s="5">
        <v>500</v>
      </c>
      <c r="F9" s="5">
        <v>500</v>
      </c>
      <c r="G9" s="5">
        <v>500</v>
      </c>
      <c r="H9" s="5">
        <v>500</v>
      </c>
      <c r="I9" s="5">
        <v>500</v>
      </c>
      <c r="J9" s="5">
        <v>500</v>
      </c>
      <c r="K9" s="5">
        <v>500</v>
      </c>
      <c r="L9" s="5">
        <v>500</v>
      </c>
      <c r="M9" s="5">
        <v>500</v>
      </c>
      <c r="N9" s="5">
        <v>500</v>
      </c>
      <c r="O9" s="5">
        <v>500</v>
      </c>
      <c r="P9" s="5">
        <v>500</v>
      </c>
      <c r="Q9" s="5">
        <v>500</v>
      </c>
    </row>
    <row r="10" spans="1:17" s="22" customFormat="1" ht="14.25">
      <c r="A10" s="4" t="s">
        <v>31</v>
      </c>
      <c r="B10" s="4" t="s">
        <v>38</v>
      </c>
      <c r="C10" s="5">
        <v>475</v>
      </c>
      <c r="D10" s="5">
        <v>450</v>
      </c>
      <c r="E10" s="5">
        <v>425</v>
      </c>
      <c r="F10" s="5">
        <v>400</v>
      </c>
      <c r="G10" s="5">
        <v>375</v>
      </c>
      <c r="H10" s="5">
        <v>350</v>
      </c>
      <c r="I10" s="5">
        <v>325</v>
      </c>
      <c r="J10" s="5">
        <v>300</v>
      </c>
      <c r="K10" s="5">
        <v>275</v>
      </c>
      <c r="L10" s="5">
        <v>250</v>
      </c>
      <c r="M10" s="5">
        <v>225</v>
      </c>
      <c r="N10" s="5">
        <v>200</v>
      </c>
      <c r="O10" s="5">
        <v>175</v>
      </c>
      <c r="P10" s="5">
        <v>150</v>
      </c>
      <c r="Q10" s="5">
        <v>125</v>
      </c>
    </row>
    <row r="11" spans="1:17" ht="14.25">
      <c r="A11" s="4" t="s">
        <v>26</v>
      </c>
      <c r="B11" s="6" t="s">
        <v>38</v>
      </c>
      <c r="C11" s="5">
        <f>C9-C10</f>
        <v>25</v>
      </c>
      <c r="D11" s="5">
        <f t="shared" ref="D11:Q11" si="0">D9-D10</f>
        <v>50</v>
      </c>
      <c r="E11" s="5">
        <f t="shared" si="0"/>
        <v>75</v>
      </c>
      <c r="F11" s="5">
        <f t="shared" si="0"/>
        <v>100</v>
      </c>
      <c r="G11" s="5">
        <f t="shared" si="0"/>
        <v>125</v>
      </c>
      <c r="H11" s="5">
        <f t="shared" si="0"/>
        <v>150</v>
      </c>
      <c r="I11" s="5">
        <f t="shared" si="0"/>
        <v>175</v>
      </c>
      <c r="J11" s="5">
        <f t="shared" si="0"/>
        <v>200</v>
      </c>
      <c r="K11" s="5">
        <f t="shared" si="0"/>
        <v>225</v>
      </c>
      <c r="L11" s="5">
        <f t="shared" si="0"/>
        <v>250</v>
      </c>
      <c r="M11" s="5">
        <f t="shared" si="0"/>
        <v>275</v>
      </c>
      <c r="N11" s="5">
        <f t="shared" si="0"/>
        <v>300</v>
      </c>
      <c r="O11" s="5">
        <f t="shared" si="0"/>
        <v>325</v>
      </c>
      <c r="P11" s="5">
        <f t="shared" si="0"/>
        <v>350</v>
      </c>
      <c r="Q11" s="5">
        <f t="shared" si="0"/>
        <v>375</v>
      </c>
    </row>
    <row r="12" spans="1:17" s="22" customFormat="1">
      <c r="A12" s="4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4.25">
      <c r="A13" s="4" t="s">
        <v>36</v>
      </c>
      <c r="B13" s="6" t="s">
        <v>38</v>
      </c>
      <c r="C13" s="5">
        <f>C9*'Ogenblikkelijke ~ Gemiddelde'!$B$2</f>
        <v>264</v>
      </c>
      <c r="D13" s="5">
        <f>D9*'Ogenblikkelijke ~ Gemiddelde'!$B$2</f>
        <v>264</v>
      </c>
      <c r="E13" s="5">
        <f>E9*'Ogenblikkelijke ~ Gemiddelde'!$B$2</f>
        <v>264</v>
      </c>
      <c r="F13" s="5">
        <f>F9*'Ogenblikkelijke ~ Gemiddelde'!$B$2</f>
        <v>264</v>
      </c>
      <c r="G13" s="5">
        <f>G9*'Ogenblikkelijke ~ Gemiddelde'!$B$2</f>
        <v>264</v>
      </c>
      <c r="H13" s="5">
        <f>H9*'Ogenblikkelijke ~ Gemiddelde'!$B$2</f>
        <v>264</v>
      </c>
      <c r="I13" s="5">
        <f>I9*'Ogenblikkelijke ~ Gemiddelde'!$B$2</f>
        <v>264</v>
      </c>
      <c r="J13" s="5">
        <f>J9*'Ogenblikkelijke ~ Gemiddelde'!$B$2</f>
        <v>264</v>
      </c>
      <c r="K13" s="5">
        <f>K9*'Ogenblikkelijke ~ Gemiddelde'!$B$2</f>
        <v>264</v>
      </c>
      <c r="L13" s="5">
        <f>L9*'Ogenblikkelijke ~ Gemiddelde'!$B$2</f>
        <v>264</v>
      </c>
      <c r="M13" s="5">
        <f>M9*'Ogenblikkelijke ~ Gemiddelde'!$B$2</f>
        <v>264</v>
      </c>
      <c r="N13" s="5">
        <f>N9*'Ogenblikkelijke ~ Gemiddelde'!$B$2</f>
        <v>264</v>
      </c>
      <c r="O13" s="5">
        <f>O9*'Ogenblikkelijke ~ Gemiddelde'!$B$2</f>
        <v>264</v>
      </c>
      <c r="P13" s="5">
        <f>P9*'Ogenblikkelijke ~ Gemiddelde'!$B$2</f>
        <v>264</v>
      </c>
      <c r="Q13" s="5">
        <f>Q9*'Ogenblikkelijke ~ Gemiddelde'!$B$2</f>
        <v>264</v>
      </c>
    </row>
    <row r="14" spans="1:17" s="23" customFormat="1" ht="14.25">
      <c r="A14" s="10" t="s">
        <v>37</v>
      </c>
      <c r="B14" s="8" t="s">
        <v>80</v>
      </c>
      <c r="C14" s="11">
        <f>C10*'Ogenblikkelijke ~ Gemiddelde'!C2</f>
        <v>252.89</v>
      </c>
      <c r="D14" s="11">
        <f>D10*'Ogenblikkelijke ~ Gemiddelde'!D2</f>
        <v>241.55999999999997</v>
      </c>
      <c r="E14" s="11">
        <f>E10*'Ogenblikkelijke ~ Gemiddelde'!E2</f>
        <v>230.00999999999996</v>
      </c>
      <c r="F14" s="11">
        <f>F10*'Ogenblikkelijke ~ Gemiddelde'!F2</f>
        <v>218.23999999999995</v>
      </c>
      <c r="G14" s="11">
        <f>G10*'Ogenblikkelijke ~ Gemiddelde'!G2</f>
        <v>206.24999999999994</v>
      </c>
      <c r="H14" s="11">
        <f>H10*'Ogenblikkelijke ~ Gemiddelde'!H2</f>
        <v>194.03999999999994</v>
      </c>
      <c r="I14" s="11">
        <f>I10*'Ogenblikkelijke ~ Gemiddelde'!I2</f>
        <v>181.60999999999993</v>
      </c>
      <c r="J14" s="11">
        <f>J10*'Ogenblikkelijke ~ Gemiddelde'!J2</f>
        <v>168.95999999999992</v>
      </c>
      <c r="K14" s="11">
        <f>K10*'Ogenblikkelijke ~ Gemiddelde'!K2</f>
        <v>156.08999999999992</v>
      </c>
      <c r="L14" s="11">
        <f>L10*'Ogenblikkelijke ~ Gemiddelde'!L2</f>
        <v>143</v>
      </c>
      <c r="M14" s="11">
        <f>M10*'Ogenblikkelijke ~ Gemiddelde'!M2</f>
        <v>132.47999999999999</v>
      </c>
      <c r="N14" s="11">
        <f>N10*'Ogenblikkelijke ~ Gemiddelde'!N2</f>
        <v>121.12</v>
      </c>
      <c r="O14" s="11">
        <f>O10*'Ogenblikkelijke ~ Gemiddelde'!O2</f>
        <v>108.92000000000002</v>
      </c>
      <c r="P14" s="11">
        <f>P10*'Ogenblikkelijke ~ Gemiddelde'!P2</f>
        <v>95.88000000000001</v>
      </c>
      <c r="Q14" s="11">
        <f>Q10*'Ogenblikkelijke ~ Gemiddelde'!Q2</f>
        <v>82</v>
      </c>
    </row>
    <row r="15" spans="1:17" s="22" customFormat="1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>
      <c r="A16" s="4" t="s">
        <v>24</v>
      </c>
      <c r="B16" s="6" t="s">
        <v>0</v>
      </c>
      <c r="C16" s="7">
        <f>(C5*C7*C13)/1000</f>
        <v>28908</v>
      </c>
      <c r="D16" s="7">
        <f t="shared" ref="D16:Q16" si="1">(D5*D7*D13)/1000</f>
        <v>28908</v>
      </c>
      <c r="E16" s="7">
        <f t="shared" si="1"/>
        <v>28908</v>
      </c>
      <c r="F16" s="7">
        <f t="shared" si="1"/>
        <v>28908</v>
      </c>
      <c r="G16" s="7">
        <f t="shared" si="1"/>
        <v>28908</v>
      </c>
      <c r="H16" s="7">
        <f t="shared" si="1"/>
        <v>28908</v>
      </c>
      <c r="I16" s="7">
        <f t="shared" si="1"/>
        <v>28908</v>
      </c>
      <c r="J16" s="7">
        <f t="shared" si="1"/>
        <v>28908</v>
      </c>
      <c r="K16" s="7">
        <f t="shared" si="1"/>
        <v>28908</v>
      </c>
      <c r="L16" s="7">
        <f t="shared" si="1"/>
        <v>28908</v>
      </c>
      <c r="M16" s="7">
        <f t="shared" si="1"/>
        <v>28908</v>
      </c>
      <c r="N16" s="7">
        <f t="shared" si="1"/>
        <v>28908</v>
      </c>
      <c r="O16" s="7">
        <f t="shared" si="1"/>
        <v>28908</v>
      </c>
      <c r="P16" s="7">
        <f t="shared" si="1"/>
        <v>28908</v>
      </c>
      <c r="Q16" s="7">
        <f t="shared" si="1"/>
        <v>28908</v>
      </c>
    </row>
    <row r="17" spans="1:17">
      <c r="A17" s="4" t="s">
        <v>25</v>
      </c>
      <c r="B17" s="6" t="s">
        <v>0</v>
      </c>
      <c r="C17" s="7">
        <f>(C5*C7*C14)/1000</f>
        <v>27691.455000000002</v>
      </c>
      <c r="D17" s="7">
        <f t="shared" ref="D17:Q17" si="2">(D5*D7*D14)/1000</f>
        <v>26450.819999999996</v>
      </c>
      <c r="E17" s="7">
        <f t="shared" si="2"/>
        <v>25186.094999999998</v>
      </c>
      <c r="F17" s="7">
        <f t="shared" si="2"/>
        <v>23897.279999999995</v>
      </c>
      <c r="G17" s="7">
        <f t="shared" si="2"/>
        <v>22584.374999999993</v>
      </c>
      <c r="H17" s="7">
        <f t="shared" si="2"/>
        <v>21247.379999999994</v>
      </c>
      <c r="I17" s="7">
        <f t="shared" si="2"/>
        <v>19886.294999999991</v>
      </c>
      <c r="J17" s="7">
        <f t="shared" si="2"/>
        <v>18501.119999999992</v>
      </c>
      <c r="K17" s="7">
        <f t="shared" si="2"/>
        <v>17091.854999999992</v>
      </c>
      <c r="L17" s="7">
        <f t="shared" si="2"/>
        <v>15658.5</v>
      </c>
      <c r="M17" s="7">
        <f t="shared" si="2"/>
        <v>14506.559999999998</v>
      </c>
      <c r="N17" s="7">
        <f t="shared" si="2"/>
        <v>13262.64</v>
      </c>
      <c r="O17" s="7">
        <f t="shared" si="2"/>
        <v>11926.740000000002</v>
      </c>
      <c r="P17" s="7">
        <f t="shared" si="2"/>
        <v>10498.860000000002</v>
      </c>
      <c r="Q17" s="7">
        <f t="shared" si="2"/>
        <v>8979</v>
      </c>
    </row>
    <row r="18" spans="1:17">
      <c r="A18" s="4" t="s">
        <v>26</v>
      </c>
      <c r="B18" s="6" t="s">
        <v>0</v>
      </c>
      <c r="C18" s="7">
        <f>C16-C17</f>
        <v>1216.5449999999983</v>
      </c>
      <c r="D18" s="7">
        <f>D16-D17</f>
        <v>2457.1800000000039</v>
      </c>
      <c r="E18" s="7">
        <f>E16-E17</f>
        <v>3721.9050000000025</v>
      </c>
      <c r="F18" s="7">
        <f>F16-F17</f>
        <v>5010.7200000000048</v>
      </c>
      <c r="G18" s="7">
        <f t="shared" ref="G18:Q18" si="3">G16-G17</f>
        <v>6323.6250000000073</v>
      </c>
      <c r="H18" s="7">
        <f t="shared" si="3"/>
        <v>7660.6200000000063</v>
      </c>
      <c r="I18" s="7">
        <f t="shared" si="3"/>
        <v>9021.705000000009</v>
      </c>
      <c r="J18" s="7">
        <f t="shared" si="3"/>
        <v>10406.880000000008</v>
      </c>
      <c r="K18" s="7">
        <f t="shared" si="3"/>
        <v>11816.145000000008</v>
      </c>
      <c r="L18" s="7">
        <f t="shared" si="3"/>
        <v>13249.5</v>
      </c>
      <c r="M18" s="7">
        <f t="shared" si="3"/>
        <v>14401.440000000002</v>
      </c>
      <c r="N18" s="7">
        <f t="shared" si="3"/>
        <v>15645.36</v>
      </c>
      <c r="O18" s="7">
        <f t="shared" si="3"/>
        <v>16981.259999999998</v>
      </c>
      <c r="P18" s="7">
        <f t="shared" si="3"/>
        <v>18409.14</v>
      </c>
      <c r="Q18" s="7">
        <f t="shared" si="3"/>
        <v>19929</v>
      </c>
    </row>
    <row r="19" spans="1:17">
      <c r="A19" s="4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24" customFormat="1">
      <c r="A20" s="10" t="s">
        <v>27</v>
      </c>
      <c r="B20" s="10" t="s">
        <v>6</v>
      </c>
      <c r="C20" s="11">
        <v>5</v>
      </c>
      <c r="D20" s="11">
        <v>5</v>
      </c>
      <c r="E20" s="11">
        <v>5</v>
      </c>
      <c r="F20" s="11">
        <v>5</v>
      </c>
      <c r="G20" s="11">
        <v>5</v>
      </c>
      <c r="H20" s="11">
        <v>5</v>
      </c>
      <c r="I20" s="11">
        <v>5</v>
      </c>
      <c r="J20" s="11">
        <v>5</v>
      </c>
      <c r="K20" s="11">
        <v>5</v>
      </c>
      <c r="L20" s="11">
        <v>5</v>
      </c>
      <c r="M20" s="11">
        <v>5</v>
      </c>
      <c r="N20" s="11">
        <v>5</v>
      </c>
      <c r="O20" s="11">
        <v>5</v>
      </c>
      <c r="P20" s="11">
        <v>5</v>
      </c>
      <c r="Q20" s="11">
        <v>5</v>
      </c>
    </row>
    <row r="21" spans="1:17" s="24" customFormat="1">
      <c r="A21" s="10"/>
      <c r="B21" s="10" t="s">
        <v>0</v>
      </c>
      <c r="C21" s="11">
        <f>C18*C20</f>
        <v>6082.7249999999913</v>
      </c>
      <c r="D21" s="11">
        <f t="shared" ref="D21:Q21" si="4">D18*D20</f>
        <v>12285.90000000002</v>
      </c>
      <c r="E21" s="11">
        <f t="shared" si="4"/>
        <v>18609.525000000012</v>
      </c>
      <c r="F21" s="11">
        <f t="shared" si="4"/>
        <v>25053.600000000024</v>
      </c>
      <c r="G21" s="11">
        <f t="shared" si="4"/>
        <v>31618.125000000036</v>
      </c>
      <c r="H21" s="11">
        <f t="shared" si="4"/>
        <v>38303.100000000035</v>
      </c>
      <c r="I21" s="11">
        <f t="shared" si="4"/>
        <v>45108.525000000045</v>
      </c>
      <c r="J21" s="11">
        <f t="shared" si="4"/>
        <v>52034.400000000038</v>
      </c>
      <c r="K21" s="11">
        <f t="shared" si="4"/>
        <v>59080.725000000035</v>
      </c>
      <c r="L21" s="11">
        <f t="shared" si="4"/>
        <v>66247.5</v>
      </c>
      <c r="M21" s="11">
        <f t="shared" si="4"/>
        <v>72007.200000000012</v>
      </c>
      <c r="N21" s="11">
        <f t="shared" si="4"/>
        <v>78226.8</v>
      </c>
      <c r="O21" s="11">
        <f t="shared" si="4"/>
        <v>84906.299999999988</v>
      </c>
      <c r="P21" s="11">
        <f t="shared" si="4"/>
        <v>92045.7</v>
      </c>
      <c r="Q21" s="11">
        <f t="shared" si="4"/>
        <v>99645</v>
      </c>
    </row>
    <row r="22" spans="1:17" s="24" customFormat="1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24" customFormat="1">
      <c r="A23" s="10" t="s">
        <v>28</v>
      </c>
      <c r="B23" s="10" t="s">
        <v>4</v>
      </c>
      <c r="C23" s="11">
        <v>1.17</v>
      </c>
      <c r="D23" s="11">
        <v>1.17</v>
      </c>
      <c r="E23" s="11">
        <v>1.17</v>
      </c>
      <c r="F23" s="11">
        <v>1.17</v>
      </c>
      <c r="G23" s="11">
        <v>1.17</v>
      </c>
      <c r="H23" s="11">
        <v>1.17</v>
      </c>
      <c r="I23" s="11">
        <v>1.17</v>
      </c>
      <c r="J23" s="11">
        <v>1.17</v>
      </c>
      <c r="K23" s="11">
        <v>1.17</v>
      </c>
      <c r="L23" s="11">
        <v>1.17</v>
      </c>
      <c r="M23" s="11">
        <v>1.17</v>
      </c>
      <c r="N23" s="11">
        <v>1.17</v>
      </c>
      <c r="O23" s="11">
        <v>1.17</v>
      </c>
      <c r="P23" s="11">
        <v>1.17</v>
      </c>
      <c r="Q23" s="11">
        <v>1.17</v>
      </c>
    </row>
    <row r="24" spans="1:17" s="23" customFormat="1">
      <c r="A24" s="10"/>
      <c r="B24" s="8" t="s">
        <v>5</v>
      </c>
      <c r="C24" s="9">
        <f>C21*C23</f>
        <v>7116.7882499999896</v>
      </c>
      <c r="D24" s="9">
        <f t="shared" ref="D24:Q24" si="5">D21*D23</f>
        <v>14374.503000000022</v>
      </c>
      <c r="E24" s="9">
        <f t="shared" si="5"/>
        <v>21773.144250000012</v>
      </c>
      <c r="F24" s="9">
        <f t="shared" si="5"/>
        <v>29312.712000000025</v>
      </c>
      <c r="G24" s="9">
        <f t="shared" si="5"/>
        <v>36993.206250000039</v>
      </c>
      <c r="H24" s="9">
        <f t="shared" si="5"/>
        <v>44814.627000000037</v>
      </c>
      <c r="I24" s="9">
        <f t="shared" si="5"/>
        <v>52776.97425000005</v>
      </c>
      <c r="J24" s="9">
        <f t="shared" si="5"/>
        <v>60880.248000000043</v>
      </c>
      <c r="K24" s="9">
        <f t="shared" si="5"/>
        <v>69124.44825000003</v>
      </c>
      <c r="L24" s="9">
        <f t="shared" si="5"/>
        <v>77509.574999999997</v>
      </c>
      <c r="M24" s="9">
        <f t="shared" si="5"/>
        <v>84248.424000000014</v>
      </c>
      <c r="N24" s="9">
        <f t="shared" si="5"/>
        <v>91525.356</v>
      </c>
      <c r="O24" s="9">
        <f t="shared" si="5"/>
        <v>99340.370999999985</v>
      </c>
      <c r="P24" s="9">
        <f t="shared" si="5"/>
        <v>107693.469</v>
      </c>
      <c r="Q24" s="9">
        <f t="shared" si="5"/>
        <v>116584.65</v>
      </c>
    </row>
    <row r="25" spans="1:17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>
      <c r="A26" s="4" t="s">
        <v>7</v>
      </c>
      <c r="B26" s="6"/>
      <c r="C26" s="45" t="s">
        <v>60</v>
      </c>
      <c r="D26" s="45" t="s">
        <v>60</v>
      </c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  <c r="Q26" s="45" t="s">
        <v>60</v>
      </c>
    </row>
    <row r="27" spans="1:17">
      <c r="A27" s="4" t="s">
        <v>8</v>
      </c>
      <c r="B27" s="6"/>
      <c r="C27" s="45" t="s">
        <v>60</v>
      </c>
      <c r="D27" s="45" t="s">
        <v>60</v>
      </c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  <c r="Q27" s="45" t="s">
        <v>60</v>
      </c>
    </row>
    <row r="28" spans="1:17">
      <c r="A28" s="4" t="s">
        <v>9</v>
      </c>
      <c r="B28" s="6"/>
      <c r="C28" s="45" t="s">
        <v>60</v>
      </c>
      <c r="D28" s="45" t="s">
        <v>60</v>
      </c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  <c r="Q28" s="45" t="s">
        <v>60</v>
      </c>
    </row>
    <row r="29" spans="1:17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>
      <c r="A30" s="6" t="s">
        <v>39</v>
      </c>
      <c r="B30" s="6" t="s">
        <v>40</v>
      </c>
      <c r="C30" s="16">
        <f>C24/C18</f>
        <v>5.85</v>
      </c>
      <c r="D30" s="16">
        <f t="shared" ref="D30:Q30" si="6">D24/D18</f>
        <v>5.85</v>
      </c>
      <c r="E30" s="16">
        <f t="shared" si="6"/>
        <v>5.85</v>
      </c>
      <c r="F30" s="16">
        <f t="shared" si="6"/>
        <v>5.85</v>
      </c>
      <c r="G30" s="16">
        <f t="shared" si="6"/>
        <v>5.85</v>
      </c>
      <c r="H30" s="16">
        <f t="shared" si="6"/>
        <v>5.85</v>
      </c>
      <c r="I30" s="16">
        <f t="shared" si="6"/>
        <v>5.85</v>
      </c>
      <c r="J30" s="16">
        <f t="shared" si="6"/>
        <v>5.85</v>
      </c>
      <c r="K30" s="16">
        <f t="shared" si="6"/>
        <v>5.8499999999999988</v>
      </c>
      <c r="L30" s="16">
        <f t="shared" si="6"/>
        <v>5.85</v>
      </c>
      <c r="M30" s="16">
        <f t="shared" si="6"/>
        <v>5.85</v>
      </c>
      <c r="N30" s="16">
        <f t="shared" si="6"/>
        <v>5.85</v>
      </c>
      <c r="O30" s="16">
        <f t="shared" si="6"/>
        <v>5.85</v>
      </c>
      <c r="P30" s="16">
        <f t="shared" si="6"/>
        <v>5.85</v>
      </c>
      <c r="Q30" s="16">
        <f t="shared" si="6"/>
        <v>5.85</v>
      </c>
    </row>
    <row r="31" spans="1:17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23" customFormat="1">
      <c r="A32" s="10" t="s">
        <v>47</v>
      </c>
      <c r="B32" s="8" t="s">
        <v>3</v>
      </c>
      <c r="C32" s="64">
        <f>'Ingenomen volumes (%)'!C10</f>
        <v>4.212545879212546E-2</v>
      </c>
      <c r="D32" s="64">
        <f>'Ingenomen volumes (%)'!D10</f>
        <v>8.5085085085085277E-2</v>
      </c>
      <c r="E32" s="64">
        <f>'Ingenomen volumes (%)'!E10</f>
        <v>0.12887887887887906</v>
      </c>
      <c r="F32" s="64">
        <f>'Ingenomen volumes (%)'!F10</f>
        <v>0.17350684017350704</v>
      </c>
      <c r="G32" s="64">
        <f>'Ingenomen volumes (%)'!G10</f>
        <v>0.21896896896896917</v>
      </c>
      <c r="H32" s="64">
        <f>'Ingenomen volumes (%)'!H10</f>
        <v>0.26526526526526556</v>
      </c>
      <c r="I32" s="64">
        <f>'Ingenomen volumes (%)'!I10</f>
        <v>0.31239572906239599</v>
      </c>
      <c r="J32" s="64">
        <f>'Ingenomen volumes (%)'!J10</f>
        <v>0.36036036036036062</v>
      </c>
      <c r="K32" s="64">
        <f>'Ingenomen volumes (%)'!K10</f>
        <v>0.40915915915915946</v>
      </c>
      <c r="L32" s="64">
        <f>'Ingenomen volumes (%)'!L10</f>
        <v>0.45879212545879211</v>
      </c>
      <c r="M32" s="64">
        <f>'Ingenomen volumes (%)'!M10</f>
        <v>0.49868049868049869</v>
      </c>
      <c r="N32" s="64">
        <f>'Ingenomen volumes (%)'!N10</f>
        <v>0.5417538750872084</v>
      </c>
      <c r="O32" s="64">
        <f>'Ingenomen volumes (%)'!O10</f>
        <v>0.58801225467892138</v>
      </c>
      <c r="P32" s="64">
        <f>'Ingenomen volumes (%)'!P10</f>
        <v>0.63745563745563749</v>
      </c>
      <c r="Q32" s="64">
        <f>'Ingenomen volumes (%)'!Q10</f>
        <v>0.69008402341735675</v>
      </c>
    </row>
    <row r="33" spans="1:17">
      <c r="A33" s="6"/>
      <c r="B33" s="6"/>
      <c r="C33" s="14"/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>
      <c r="A34" s="6" t="s">
        <v>32</v>
      </c>
      <c r="B34" s="6" t="s">
        <v>19</v>
      </c>
      <c r="C34" s="13">
        <v>80</v>
      </c>
      <c r="D34" s="13">
        <v>80</v>
      </c>
      <c r="E34" s="13">
        <v>80</v>
      </c>
      <c r="F34" s="13">
        <v>80</v>
      </c>
      <c r="G34" s="13">
        <v>80</v>
      </c>
      <c r="H34" s="13">
        <v>80</v>
      </c>
      <c r="I34" s="13">
        <v>80</v>
      </c>
      <c r="J34" s="13">
        <v>80</v>
      </c>
      <c r="K34" s="13">
        <v>80</v>
      </c>
      <c r="L34" s="13">
        <v>80</v>
      </c>
      <c r="M34" s="13">
        <v>80</v>
      </c>
      <c r="N34" s="13">
        <v>80</v>
      </c>
      <c r="O34" s="13">
        <v>80</v>
      </c>
      <c r="P34" s="13">
        <v>80</v>
      </c>
      <c r="Q34" s="13">
        <v>80</v>
      </c>
    </row>
    <row r="35" spans="1:17">
      <c r="A35" s="6" t="s">
        <v>44</v>
      </c>
      <c r="B35" s="6" t="s">
        <v>19</v>
      </c>
      <c r="C35" s="13">
        <f>C24/(C5*C7*C32)</f>
        <v>1.5428555999999978</v>
      </c>
      <c r="D35" s="13">
        <f t="shared" ref="D35:Q35" si="7">D24/(D5*D7*D32)</f>
        <v>1.5428555999999989</v>
      </c>
      <c r="E35" s="13">
        <f t="shared" si="7"/>
        <v>1.5428555999999987</v>
      </c>
      <c r="F35" s="13">
        <f t="shared" si="7"/>
        <v>1.5428555999999995</v>
      </c>
      <c r="G35" s="13">
        <f t="shared" si="7"/>
        <v>1.5428556000000004</v>
      </c>
      <c r="H35" s="13">
        <f t="shared" si="7"/>
        <v>1.5428555999999995</v>
      </c>
      <c r="I35" s="13">
        <f t="shared" si="7"/>
        <v>1.5428556</v>
      </c>
      <c r="J35" s="13">
        <f t="shared" si="7"/>
        <v>1.5428556</v>
      </c>
      <c r="K35" s="13">
        <f t="shared" si="7"/>
        <v>1.5428555999999995</v>
      </c>
      <c r="L35" s="13">
        <f t="shared" si="7"/>
        <v>1.5428556</v>
      </c>
      <c r="M35" s="13">
        <f t="shared" si="7"/>
        <v>1.5428556000000002</v>
      </c>
      <c r="N35" s="13">
        <f t="shared" si="7"/>
        <v>1.5428556</v>
      </c>
      <c r="O35" s="13">
        <f t="shared" si="7"/>
        <v>1.5428555999999995</v>
      </c>
      <c r="P35" s="13">
        <f t="shared" si="7"/>
        <v>1.5428556</v>
      </c>
      <c r="Q35" s="13">
        <f t="shared" si="7"/>
        <v>1.5428555999999998</v>
      </c>
    </row>
    <row r="36" spans="1:17">
      <c r="A36" s="6" t="s">
        <v>33</v>
      </c>
      <c r="B36" s="6" t="s">
        <v>19</v>
      </c>
      <c r="C36" s="13">
        <f>C34+C35</f>
        <v>81.542855599999996</v>
      </c>
      <c r="D36" s="13">
        <f t="shared" ref="D36:Q36" si="8">D34+D35</f>
        <v>81.542855599999996</v>
      </c>
      <c r="E36" s="13">
        <f t="shared" si="8"/>
        <v>81.542855599999996</v>
      </c>
      <c r="F36" s="13">
        <f t="shared" si="8"/>
        <v>81.542855599999996</v>
      </c>
      <c r="G36" s="13">
        <f t="shared" si="8"/>
        <v>81.542855599999996</v>
      </c>
      <c r="H36" s="13">
        <f t="shared" si="8"/>
        <v>81.542855599999996</v>
      </c>
      <c r="I36" s="13">
        <f t="shared" si="8"/>
        <v>81.542855599999996</v>
      </c>
      <c r="J36" s="13">
        <f t="shared" si="8"/>
        <v>81.542855599999996</v>
      </c>
      <c r="K36" s="13">
        <f t="shared" si="8"/>
        <v>81.542855599999996</v>
      </c>
      <c r="L36" s="13">
        <f t="shared" si="8"/>
        <v>81.542855599999996</v>
      </c>
      <c r="M36" s="13">
        <f t="shared" si="8"/>
        <v>81.542855599999996</v>
      </c>
      <c r="N36" s="13">
        <f t="shared" si="8"/>
        <v>81.542855599999996</v>
      </c>
      <c r="O36" s="13">
        <f t="shared" si="8"/>
        <v>81.542855599999996</v>
      </c>
      <c r="P36" s="13">
        <f t="shared" si="8"/>
        <v>81.542855599999996</v>
      </c>
      <c r="Q36" s="13">
        <f t="shared" si="8"/>
        <v>81.542855599999996</v>
      </c>
    </row>
    <row r="37" spans="1:17">
      <c r="A37" s="6"/>
      <c r="B37" s="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6" t="s">
        <v>45</v>
      </c>
      <c r="B38" s="6" t="s">
        <v>19</v>
      </c>
      <c r="C38" s="13">
        <v>160</v>
      </c>
      <c r="D38" s="13">
        <v>160</v>
      </c>
      <c r="E38" s="13">
        <v>160</v>
      </c>
      <c r="F38" s="13">
        <v>160</v>
      </c>
      <c r="G38" s="13">
        <v>160</v>
      </c>
      <c r="H38" s="13">
        <v>160</v>
      </c>
      <c r="I38" s="13">
        <v>160</v>
      </c>
      <c r="J38" s="13">
        <v>160</v>
      </c>
      <c r="K38" s="13">
        <v>160</v>
      </c>
      <c r="L38" s="13">
        <v>160</v>
      </c>
      <c r="M38" s="13">
        <v>160</v>
      </c>
      <c r="N38" s="13">
        <v>160</v>
      </c>
      <c r="O38" s="13">
        <v>160</v>
      </c>
      <c r="P38" s="13">
        <v>160</v>
      </c>
      <c r="Q38" s="13">
        <v>160</v>
      </c>
    </row>
    <row r="39" spans="1:17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A40" s="6" t="s">
        <v>29</v>
      </c>
      <c r="B40" s="6" t="s">
        <v>20</v>
      </c>
      <c r="C40" s="13">
        <v>5.827647058823529</v>
      </c>
      <c r="D40" s="13">
        <v>5.827647058823529</v>
      </c>
      <c r="E40" s="13">
        <v>5.827647058823529</v>
      </c>
      <c r="F40" s="13">
        <v>5.827647058823529</v>
      </c>
      <c r="G40" s="13">
        <v>5.827647058823529</v>
      </c>
      <c r="H40" s="13">
        <v>5.827647058823529</v>
      </c>
      <c r="I40" s="13">
        <v>5.827647058823529</v>
      </c>
      <c r="J40" s="13">
        <v>5.827647058823529</v>
      </c>
      <c r="K40" s="13">
        <v>5.827647058823529</v>
      </c>
      <c r="L40" s="13">
        <v>5.827647058823529</v>
      </c>
      <c r="M40" s="13">
        <v>5.827647058823529</v>
      </c>
      <c r="N40" s="13">
        <v>5.827647058823529</v>
      </c>
      <c r="O40" s="13">
        <v>5.827647058823529</v>
      </c>
      <c r="P40" s="13">
        <v>5.827647058823529</v>
      </c>
      <c r="Q40" s="13">
        <v>5.827647058823529</v>
      </c>
    </row>
    <row r="41" spans="1:17">
      <c r="A41" s="6"/>
      <c r="B41" s="6" t="s">
        <v>20</v>
      </c>
      <c r="C41" s="13">
        <v>29.149090909090908</v>
      </c>
      <c r="D41" s="13">
        <v>29.149090909090908</v>
      </c>
      <c r="E41" s="13">
        <v>29.149090909090908</v>
      </c>
      <c r="F41" s="13">
        <v>29.149090909090908</v>
      </c>
      <c r="G41" s="13">
        <v>29.149090909090908</v>
      </c>
      <c r="H41" s="13">
        <v>29.149090909090908</v>
      </c>
      <c r="I41" s="13">
        <v>29.149090909090908</v>
      </c>
      <c r="J41" s="13">
        <v>29.149090909090908</v>
      </c>
      <c r="K41" s="13">
        <v>29.149090909090908</v>
      </c>
      <c r="L41" s="13">
        <v>29.149090909090908</v>
      </c>
      <c r="M41" s="13">
        <v>29.149090909090908</v>
      </c>
      <c r="N41" s="13">
        <v>29.149090909090908</v>
      </c>
      <c r="O41" s="13">
        <v>29.149090909090908</v>
      </c>
      <c r="P41" s="13">
        <v>29.149090909090908</v>
      </c>
      <c r="Q41" s="13">
        <v>29.149090909090908</v>
      </c>
    </row>
    <row r="42" spans="1:17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A43" s="6" t="s">
        <v>61</v>
      </c>
      <c r="B43" s="6" t="s">
        <v>21</v>
      </c>
      <c r="C43" s="12">
        <f>100/C40*C35</f>
        <v>26.474760472393221</v>
      </c>
      <c r="D43" s="12">
        <f t="shared" ref="D43:P43" si="9">100/D40*D35</f>
        <v>26.474760472393239</v>
      </c>
      <c r="E43" s="12">
        <f t="shared" si="9"/>
        <v>26.474760472393235</v>
      </c>
      <c r="F43" s="12">
        <f t="shared" si="9"/>
        <v>26.47476047239325</v>
      </c>
      <c r="G43" s="12">
        <f t="shared" si="9"/>
        <v>26.474760472393267</v>
      </c>
      <c r="H43" s="12">
        <f t="shared" si="9"/>
        <v>26.47476047239325</v>
      </c>
      <c r="I43" s="12">
        <f t="shared" si="9"/>
        <v>26.474760472393257</v>
      </c>
      <c r="J43" s="12">
        <f t="shared" si="9"/>
        <v>26.474760472393257</v>
      </c>
      <c r="K43" s="12">
        <f t="shared" si="9"/>
        <v>26.47476047239325</v>
      </c>
      <c r="L43" s="12">
        <f t="shared" si="9"/>
        <v>26.474760472393257</v>
      </c>
      <c r="M43" s="12">
        <f t="shared" si="9"/>
        <v>26.47476047239326</v>
      </c>
      <c r="N43" s="12">
        <f t="shared" si="9"/>
        <v>26.474760472393257</v>
      </c>
      <c r="O43" s="12">
        <f t="shared" si="9"/>
        <v>26.47476047239325</v>
      </c>
      <c r="P43" s="12">
        <f t="shared" si="9"/>
        <v>26.474760472393257</v>
      </c>
      <c r="Q43" s="12">
        <f>100/Q40*Q35</f>
        <v>26.474760472393253</v>
      </c>
    </row>
    <row r="44" spans="1:17">
      <c r="A44" s="6"/>
      <c r="B44" s="6" t="s">
        <v>21</v>
      </c>
      <c r="C44" s="12">
        <f>100/C41*C35</f>
        <v>5.2929801646706514</v>
      </c>
      <c r="D44" s="12">
        <f t="shared" ref="D44:Q44" si="10">100/D41*D35</f>
        <v>5.2929801646706549</v>
      </c>
      <c r="E44" s="12">
        <f t="shared" si="10"/>
        <v>5.292980164670654</v>
      </c>
      <c r="F44" s="12">
        <f t="shared" si="10"/>
        <v>5.2929801646706576</v>
      </c>
      <c r="G44" s="12">
        <f t="shared" si="10"/>
        <v>5.2929801646706602</v>
      </c>
      <c r="H44" s="12">
        <f t="shared" si="10"/>
        <v>5.2929801646706576</v>
      </c>
      <c r="I44" s="12">
        <f t="shared" si="10"/>
        <v>5.2929801646706585</v>
      </c>
      <c r="J44" s="12">
        <f t="shared" si="10"/>
        <v>5.2929801646706585</v>
      </c>
      <c r="K44" s="12">
        <f t="shared" si="10"/>
        <v>5.2929801646706576</v>
      </c>
      <c r="L44" s="12">
        <f t="shared" si="10"/>
        <v>5.2929801646706585</v>
      </c>
      <c r="M44" s="12">
        <f t="shared" si="10"/>
        <v>5.2929801646706593</v>
      </c>
      <c r="N44" s="12">
        <f t="shared" si="10"/>
        <v>5.2929801646706585</v>
      </c>
      <c r="O44" s="12">
        <f t="shared" si="10"/>
        <v>5.2929801646706576</v>
      </c>
      <c r="P44" s="12">
        <f t="shared" si="10"/>
        <v>5.2929801646706585</v>
      </c>
      <c r="Q44" s="12">
        <f t="shared" si="10"/>
        <v>5.2929801646706576</v>
      </c>
    </row>
    <row r="45" spans="1:17">
      <c r="A45" s="6" t="s">
        <v>62</v>
      </c>
      <c r="B45" s="6" t="s">
        <v>21</v>
      </c>
      <c r="C45" s="12">
        <f>C43/2</f>
        <v>13.237380236196611</v>
      </c>
      <c r="D45" s="12">
        <f t="shared" ref="D45:Q46" si="11">D43/2</f>
        <v>13.23738023619662</v>
      </c>
      <c r="E45" s="12">
        <f t="shared" si="11"/>
        <v>13.237380236196618</v>
      </c>
      <c r="F45" s="12">
        <f t="shared" si="11"/>
        <v>13.237380236196625</v>
      </c>
      <c r="G45" s="12">
        <f t="shared" si="11"/>
        <v>13.237380236196634</v>
      </c>
      <c r="H45" s="12">
        <f t="shared" si="11"/>
        <v>13.237380236196625</v>
      </c>
      <c r="I45" s="12">
        <f t="shared" si="11"/>
        <v>13.237380236196628</v>
      </c>
      <c r="J45" s="12">
        <f t="shared" si="11"/>
        <v>13.237380236196628</v>
      </c>
      <c r="K45" s="12">
        <f t="shared" si="11"/>
        <v>13.237380236196625</v>
      </c>
      <c r="L45" s="12">
        <f t="shared" si="11"/>
        <v>13.237380236196628</v>
      </c>
      <c r="M45" s="12">
        <f t="shared" si="11"/>
        <v>13.23738023619663</v>
      </c>
      <c r="N45" s="12">
        <f t="shared" si="11"/>
        <v>13.237380236196628</v>
      </c>
      <c r="O45" s="12">
        <f t="shared" si="11"/>
        <v>13.237380236196625</v>
      </c>
      <c r="P45" s="12">
        <f t="shared" si="11"/>
        <v>13.237380236196628</v>
      </c>
      <c r="Q45" s="12">
        <f t="shared" si="11"/>
        <v>13.237380236196627</v>
      </c>
    </row>
    <row r="46" spans="1:17">
      <c r="A46" s="6"/>
      <c r="B46" s="6" t="s">
        <v>21</v>
      </c>
      <c r="C46" s="12">
        <f>C44/2</f>
        <v>2.6464900823353257</v>
      </c>
      <c r="D46" s="12">
        <f t="shared" si="11"/>
        <v>2.6464900823353275</v>
      </c>
      <c r="E46" s="12">
        <f t="shared" si="11"/>
        <v>2.646490082335327</v>
      </c>
      <c r="F46" s="12">
        <f t="shared" si="11"/>
        <v>2.6464900823353288</v>
      </c>
      <c r="G46" s="12">
        <f t="shared" si="11"/>
        <v>2.6464900823353301</v>
      </c>
      <c r="H46" s="12">
        <f t="shared" si="11"/>
        <v>2.6464900823353288</v>
      </c>
      <c r="I46" s="12">
        <f t="shared" si="11"/>
        <v>2.6464900823353292</v>
      </c>
      <c r="J46" s="12">
        <f t="shared" si="11"/>
        <v>2.6464900823353292</v>
      </c>
      <c r="K46" s="12">
        <f t="shared" si="11"/>
        <v>2.6464900823353288</v>
      </c>
      <c r="L46" s="12">
        <f t="shared" si="11"/>
        <v>2.6464900823353292</v>
      </c>
      <c r="M46" s="12">
        <f t="shared" si="11"/>
        <v>2.6464900823353297</v>
      </c>
      <c r="N46" s="12">
        <f t="shared" si="11"/>
        <v>2.6464900823353292</v>
      </c>
      <c r="O46" s="12">
        <f t="shared" si="11"/>
        <v>2.6464900823353288</v>
      </c>
      <c r="P46" s="12">
        <f t="shared" si="11"/>
        <v>2.6464900823353292</v>
      </c>
      <c r="Q46" s="12">
        <f t="shared" si="11"/>
        <v>2.6464900823353288</v>
      </c>
    </row>
    <row r="48" spans="1:17">
      <c r="A48" s="21" t="s">
        <v>34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8">
      <c r="A49" s="21" t="s">
        <v>35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8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>
      <c r="A51" s="28"/>
    </row>
  </sheetData>
  <mergeCells count="1">
    <mergeCell ref="C3:Q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="80" zoomScaleNormal="80" workbookViewId="0"/>
  </sheetViews>
  <sheetFormatPr defaultRowHeight="12.75"/>
  <cols>
    <col min="1" max="1" width="73.7109375" style="21" bestFit="1" customWidth="1"/>
    <col min="2" max="2" width="16.7109375" style="21" bestFit="1" customWidth="1"/>
    <col min="3" max="17" width="13.28515625" style="21" customWidth="1"/>
    <col min="18" max="16384" width="9.140625" style="21"/>
  </cols>
  <sheetData>
    <row r="1" spans="1:17" ht="25.5">
      <c r="A1" s="20" t="s">
        <v>49</v>
      </c>
    </row>
    <row r="3" spans="1:17">
      <c r="C3" s="70" t="s">
        <v>46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>
      <c r="C4" s="32">
        <v>1</v>
      </c>
      <c r="D4" s="32">
        <v>2</v>
      </c>
      <c r="E4" s="32">
        <v>3</v>
      </c>
      <c r="F4" s="32">
        <v>4</v>
      </c>
      <c r="G4" s="32">
        <v>5</v>
      </c>
      <c r="H4" s="32">
        <v>6</v>
      </c>
      <c r="I4" s="32">
        <v>7</v>
      </c>
      <c r="J4" s="32">
        <v>8</v>
      </c>
      <c r="K4" s="32">
        <v>9</v>
      </c>
      <c r="L4" s="32">
        <v>10</v>
      </c>
      <c r="M4" s="32">
        <v>11</v>
      </c>
      <c r="N4" s="32">
        <v>12</v>
      </c>
      <c r="O4" s="32">
        <v>13</v>
      </c>
      <c r="P4" s="32">
        <v>14</v>
      </c>
      <c r="Q4" s="32">
        <v>15</v>
      </c>
    </row>
    <row r="5" spans="1:17" s="22" customFormat="1">
      <c r="A5" s="4" t="s">
        <v>22</v>
      </c>
      <c r="B5" s="4" t="s">
        <v>1</v>
      </c>
      <c r="C5" s="5">
        <v>300</v>
      </c>
      <c r="D5" s="5">
        <v>300</v>
      </c>
      <c r="E5" s="5">
        <v>300</v>
      </c>
      <c r="F5" s="5">
        <v>300</v>
      </c>
      <c r="G5" s="5">
        <v>300</v>
      </c>
      <c r="H5" s="5">
        <v>300</v>
      </c>
      <c r="I5" s="5">
        <v>300</v>
      </c>
      <c r="J5" s="5">
        <v>300</v>
      </c>
      <c r="K5" s="5">
        <v>300</v>
      </c>
      <c r="L5" s="5">
        <v>300</v>
      </c>
      <c r="M5" s="5">
        <v>300</v>
      </c>
      <c r="N5" s="5">
        <v>300</v>
      </c>
      <c r="O5" s="5">
        <v>300</v>
      </c>
      <c r="P5" s="5">
        <v>300</v>
      </c>
      <c r="Q5" s="5">
        <v>300</v>
      </c>
    </row>
    <row r="6" spans="1:17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23" customFormat="1">
      <c r="A7" s="10" t="s">
        <v>23</v>
      </c>
      <c r="B7" s="8" t="s">
        <v>2</v>
      </c>
      <c r="C7" s="9">
        <v>365</v>
      </c>
      <c r="D7" s="9">
        <v>365</v>
      </c>
      <c r="E7" s="9">
        <v>365</v>
      </c>
      <c r="F7" s="9">
        <v>365</v>
      </c>
      <c r="G7" s="9">
        <v>365</v>
      </c>
      <c r="H7" s="9">
        <v>365</v>
      </c>
      <c r="I7" s="9">
        <v>365</v>
      </c>
      <c r="J7" s="9">
        <v>365</v>
      </c>
      <c r="K7" s="9">
        <v>365</v>
      </c>
      <c r="L7" s="9">
        <v>365</v>
      </c>
      <c r="M7" s="9">
        <v>365</v>
      </c>
      <c r="N7" s="9">
        <v>365</v>
      </c>
      <c r="O7" s="9">
        <v>365</v>
      </c>
      <c r="P7" s="9">
        <v>365</v>
      </c>
      <c r="Q7" s="9">
        <v>365</v>
      </c>
    </row>
    <row r="8" spans="1:17">
      <c r="A8" s="4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23" customFormat="1" ht="14.25">
      <c r="A9" s="10" t="s">
        <v>30</v>
      </c>
      <c r="B9" s="8" t="s">
        <v>80</v>
      </c>
      <c r="C9" s="11">
        <v>500</v>
      </c>
      <c r="D9" s="11">
        <v>500</v>
      </c>
      <c r="E9" s="11">
        <v>500</v>
      </c>
      <c r="F9" s="11">
        <v>500</v>
      </c>
      <c r="G9" s="11">
        <v>500</v>
      </c>
      <c r="H9" s="11">
        <v>500</v>
      </c>
      <c r="I9" s="11">
        <v>500</v>
      </c>
      <c r="J9" s="11">
        <v>500</v>
      </c>
      <c r="K9" s="11">
        <v>500</v>
      </c>
      <c r="L9" s="11">
        <v>500</v>
      </c>
      <c r="M9" s="11">
        <v>500</v>
      </c>
      <c r="N9" s="11">
        <v>500</v>
      </c>
      <c r="O9" s="11">
        <v>500</v>
      </c>
      <c r="P9" s="11">
        <v>500</v>
      </c>
      <c r="Q9" s="11">
        <v>500</v>
      </c>
    </row>
    <row r="10" spans="1:17" s="24" customFormat="1" ht="14.25">
      <c r="A10" s="10" t="s">
        <v>31</v>
      </c>
      <c r="B10" s="10" t="s">
        <v>80</v>
      </c>
      <c r="C10" s="11">
        <v>475</v>
      </c>
      <c r="D10" s="11">
        <v>450</v>
      </c>
      <c r="E10" s="11">
        <v>425</v>
      </c>
      <c r="F10" s="11">
        <v>400</v>
      </c>
      <c r="G10" s="11">
        <v>375</v>
      </c>
      <c r="H10" s="11">
        <v>350</v>
      </c>
      <c r="I10" s="11">
        <v>325</v>
      </c>
      <c r="J10" s="11">
        <v>300</v>
      </c>
      <c r="K10" s="11">
        <v>275</v>
      </c>
      <c r="L10" s="11">
        <v>250</v>
      </c>
      <c r="M10" s="11">
        <v>225</v>
      </c>
      <c r="N10" s="11">
        <v>200</v>
      </c>
      <c r="O10" s="11">
        <v>175</v>
      </c>
      <c r="P10" s="11">
        <v>150</v>
      </c>
      <c r="Q10" s="11">
        <v>125</v>
      </c>
    </row>
    <row r="11" spans="1:17" s="23" customFormat="1" ht="14.25">
      <c r="A11" s="10" t="s">
        <v>26</v>
      </c>
      <c r="B11" s="8" t="s">
        <v>80</v>
      </c>
      <c r="C11" s="11">
        <f>C9-C10</f>
        <v>25</v>
      </c>
      <c r="D11" s="11">
        <f t="shared" ref="D11:Q11" si="0">D9-D10</f>
        <v>50</v>
      </c>
      <c r="E11" s="11">
        <f t="shared" si="0"/>
        <v>75</v>
      </c>
      <c r="F11" s="11">
        <f t="shared" si="0"/>
        <v>100</v>
      </c>
      <c r="G11" s="11">
        <f t="shared" si="0"/>
        <v>125</v>
      </c>
      <c r="H11" s="11">
        <f t="shared" si="0"/>
        <v>150</v>
      </c>
      <c r="I11" s="11">
        <f t="shared" si="0"/>
        <v>175</v>
      </c>
      <c r="J11" s="11">
        <f t="shared" si="0"/>
        <v>200</v>
      </c>
      <c r="K11" s="11">
        <f t="shared" si="0"/>
        <v>225</v>
      </c>
      <c r="L11" s="11">
        <f t="shared" si="0"/>
        <v>250</v>
      </c>
      <c r="M11" s="11">
        <f t="shared" si="0"/>
        <v>275</v>
      </c>
      <c r="N11" s="11">
        <f t="shared" si="0"/>
        <v>300</v>
      </c>
      <c r="O11" s="11">
        <f t="shared" si="0"/>
        <v>325</v>
      </c>
      <c r="P11" s="11">
        <f t="shared" si="0"/>
        <v>350</v>
      </c>
      <c r="Q11" s="11">
        <f t="shared" si="0"/>
        <v>375</v>
      </c>
    </row>
    <row r="12" spans="1:17" s="24" customFormat="1">
      <c r="A12" s="10"/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23" customFormat="1" ht="14.25">
      <c r="A13" s="10" t="s">
        <v>36</v>
      </c>
      <c r="B13" s="8" t="s">
        <v>80</v>
      </c>
      <c r="C13" s="11">
        <f>C9*'Ogenblikkelijke ~ Gemiddelde'!$B$2</f>
        <v>264</v>
      </c>
      <c r="D13" s="11">
        <f>D9*'Ogenblikkelijke ~ Gemiddelde'!$B$2</f>
        <v>264</v>
      </c>
      <c r="E13" s="11">
        <f>E9*'Ogenblikkelijke ~ Gemiddelde'!$B$2</f>
        <v>264</v>
      </c>
      <c r="F13" s="11">
        <f>F9*'Ogenblikkelijke ~ Gemiddelde'!$B$2</f>
        <v>264</v>
      </c>
      <c r="G13" s="11">
        <f>G9*'Ogenblikkelijke ~ Gemiddelde'!$B$2</f>
        <v>264</v>
      </c>
      <c r="H13" s="11">
        <f>H9*'Ogenblikkelijke ~ Gemiddelde'!$B$2</f>
        <v>264</v>
      </c>
      <c r="I13" s="11">
        <f>I9*'Ogenblikkelijke ~ Gemiddelde'!$B$2</f>
        <v>264</v>
      </c>
      <c r="J13" s="11">
        <f>J9*'Ogenblikkelijke ~ Gemiddelde'!$B$2</f>
        <v>264</v>
      </c>
      <c r="K13" s="11">
        <f>K9*'Ogenblikkelijke ~ Gemiddelde'!$B$2</f>
        <v>264</v>
      </c>
      <c r="L13" s="11">
        <f>L9*'Ogenblikkelijke ~ Gemiddelde'!$B$2</f>
        <v>264</v>
      </c>
      <c r="M13" s="11">
        <f>M9*'Ogenblikkelijke ~ Gemiddelde'!$B$2</f>
        <v>264</v>
      </c>
      <c r="N13" s="11">
        <f>N9*'Ogenblikkelijke ~ Gemiddelde'!$B$2</f>
        <v>264</v>
      </c>
      <c r="O13" s="11">
        <f>O9*'Ogenblikkelijke ~ Gemiddelde'!$B$2</f>
        <v>264</v>
      </c>
      <c r="P13" s="11">
        <f>P9*'Ogenblikkelijke ~ Gemiddelde'!$B$2</f>
        <v>264</v>
      </c>
      <c r="Q13" s="11">
        <f>Q9*'Ogenblikkelijke ~ Gemiddelde'!$B$2</f>
        <v>264</v>
      </c>
    </row>
    <row r="14" spans="1:17" s="23" customFormat="1" ht="14.25">
      <c r="A14" s="10" t="s">
        <v>37</v>
      </c>
      <c r="B14" s="8" t="s">
        <v>80</v>
      </c>
      <c r="C14" s="11">
        <f>C10*'Ogenblikkelijke ~ Gemiddelde'!C2</f>
        <v>252.89</v>
      </c>
      <c r="D14" s="11">
        <f>D10*'Ogenblikkelijke ~ Gemiddelde'!D2</f>
        <v>241.55999999999997</v>
      </c>
      <c r="E14" s="11">
        <f>E10*'Ogenblikkelijke ~ Gemiddelde'!E2</f>
        <v>230.00999999999996</v>
      </c>
      <c r="F14" s="11">
        <f>F10*'Ogenblikkelijke ~ Gemiddelde'!F2</f>
        <v>218.23999999999995</v>
      </c>
      <c r="G14" s="11">
        <f>G10*'Ogenblikkelijke ~ Gemiddelde'!G2</f>
        <v>206.24999999999994</v>
      </c>
      <c r="H14" s="11">
        <f>H10*'Ogenblikkelijke ~ Gemiddelde'!H2</f>
        <v>194.03999999999994</v>
      </c>
      <c r="I14" s="11">
        <f>I10*'Ogenblikkelijke ~ Gemiddelde'!I2</f>
        <v>181.60999999999993</v>
      </c>
      <c r="J14" s="11">
        <f>J10*'Ogenblikkelijke ~ Gemiddelde'!J2</f>
        <v>168.95999999999992</v>
      </c>
      <c r="K14" s="11">
        <f>K10*'Ogenblikkelijke ~ Gemiddelde'!K2</f>
        <v>156.08999999999992</v>
      </c>
      <c r="L14" s="11">
        <f>L10*'Ogenblikkelijke ~ Gemiddelde'!L2</f>
        <v>143</v>
      </c>
      <c r="M14" s="11">
        <f>M10*'Ogenblikkelijke ~ Gemiddelde'!M2</f>
        <v>132.47999999999999</v>
      </c>
      <c r="N14" s="11">
        <f>N10*'Ogenblikkelijke ~ Gemiddelde'!N2</f>
        <v>121.12</v>
      </c>
      <c r="O14" s="11">
        <f>O10*'Ogenblikkelijke ~ Gemiddelde'!O2</f>
        <v>108.92000000000002</v>
      </c>
      <c r="P14" s="11">
        <f>P10*'Ogenblikkelijke ~ Gemiddelde'!P2</f>
        <v>95.88000000000001</v>
      </c>
      <c r="Q14" s="11">
        <f>Q10*'Ogenblikkelijke ~ Gemiddelde'!Q2</f>
        <v>82</v>
      </c>
    </row>
    <row r="15" spans="1:17" s="24" customForma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23" customFormat="1">
      <c r="A16" s="10" t="s">
        <v>24</v>
      </c>
      <c r="B16" s="8" t="s">
        <v>0</v>
      </c>
      <c r="C16" s="9">
        <f>(C5*C7*C13)/1000</f>
        <v>28908</v>
      </c>
      <c r="D16" s="9">
        <f t="shared" ref="D16:Q16" si="1">(D5*D7*D13)/1000</f>
        <v>28908</v>
      </c>
      <c r="E16" s="9">
        <f t="shared" si="1"/>
        <v>28908</v>
      </c>
      <c r="F16" s="9">
        <f t="shared" si="1"/>
        <v>28908</v>
      </c>
      <c r="G16" s="9">
        <f t="shared" si="1"/>
        <v>28908</v>
      </c>
      <c r="H16" s="9">
        <f t="shared" si="1"/>
        <v>28908</v>
      </c>
      <c r="I16" s="9">
        <f t="shared" si="1"/>
        <v>28908</v>
      </c>
      <c r="J16" s="9">
        <f t="shared" si="1"/>
        <v>28908</v>
      </c>
      <c r="K16" s="9">
        <f t="shared" si="1"/>
        <v>28908</v>
      </c>
      <c r="L16" s="9">
        <f t="shared" si="1"/>
        <v>28908</v>
      </c>
      <c r="M16" s="9">
        <f t="shared" si="1"/>
        <v>28908</v>
      </c>
      <c r="N16" s="9">
        <f t="shared" si="1"/>
        <v>28908</v>
      </c>
      <c r="O16" s="9">
        <f t="shared" si="1"/>
        <v>28908</v>
      </c>
      <c r="P16" s="9">
        <f t="shared" si="1"/>
        <v>28908</v>
      </c>
      <c r="Q16" s="9">
        <f t="shared" si="1"/>
        <v>28908</v>
      </c>
    </row>
    <row r="17" spans="1:17" s="23" customFormat="1">
      <c r="A17" s="10" t="s">
        <v>25</v>
      </c>
      <c r="B17" s="8" t="s">
        <v>0</v>
      </c>
      <c r="C17" s="9">
        <f>(C5*C7*C14)/1000</f>
        <v>27691.455000000002</v>
      </c>
      <c r="D17" s="9">
        <f t="shared" ref="D17:Q17" si="2">(D5*D7*D14)/1000</f>
        <v>26450.819999999996</v>
      </c>
      <c r="E17" s="9">
        <f t="shared" si="2"/>
        <v>25186.094999999998</v>
      </c>
      <c r="F17" s="9">
        <f t="shared" si="2"/>
        <v>23897.279999999995</v>
      </c>
      <c r="G17" s="9">
        <f t="shared" si="2"/>
        <v>22584.374999999993</v>
      </c>
      <c r="H17" s="9">
        <f t="shared" si="2"/>
        <v>21247.379999999994</v>
      </c>
      <c r="I17" s="9">
        <f t="shared" si="2"/>
        <v>19886.294999999991</v>
      </c>
      <c r="J17" s="9">
        <f t="shared" si="2"/>
        <v>18501.119999999992</v>
      </c>
      <c r="K17" s="9">
        <f t="shared" si="2"/>
        <v>17091.854999999992</v>
      </c>
      <c r="L17" s="9">
        <f t="shared" si="2"/>
        <v>15658.5</v>
      </c>
      <c r="M17" s="9">
        <f t="shared" si="2"/>
        <v>14506.559999999998</v>
      </c>
      <c r="N17" s="9">
        <f t="shared" si="2"/>
        <v>13262.64</v>
      </c>
      <c r="O17" s="9">
        <f t="shared" si="2"/>
        <v>11926.740000000002</v>
      </c>
      <c r="P17" s="9">
        <f t="shared" si="2"/>
        <v>10498.860000000002</v>
      </c>
      <c r="Q17" s="9">
        <f t="shared" si="2"/>
        <v>8979</v>
      </c>
    </row>
    <row r="18" spans="1:17" s="23" customFormat="1">
      <c r="A18" s="10" t="s">
        <v>26</v>
      </c>
      <c r="B18" s="8" t="s">
        <v>0</v>
      </c>
      <c r="C18" s="9">
        <f>C16-C17</f>
        <v>1216.5449999999983</v>
      </c>
      <c r="D18" s="9">
        <f>D16-D17</f>
        <v>2457.1800000000039</v>
      </c>
      <c r="E18" s="9">
        <f>E16-E17</f>
        <v>3721.9050000000025</v>
      </c>
      <c r="F18" s="9">
        <f>F16-F17</f>
        <v>5010.7200000000048</v>
      </c>
      <c r="G18" s="9">
        <f t="shared" ref="G18:Q18" si="3">G16-G17</f>
        <v>6323.6250000000073</v>
      </c>
      <c r="H18" s="9">
        <f t="shared" si="3"/>
        <v>7660.6200000000063</v>
      </c>
      <c r="I18" s="9">
        <f t="shared" si="3"/>
        <v>9021.705000000009</v>
      </c>
      <c r="J18" s="9">
        <f t="shared" si="3"/>
        <v>10406.880000000008</v>
      </c>
      <c r="K18" s="9">
        <f t="shared" si="3"/>
        <v>11816.145000000008</v>
      </c>
      <c r="L18" s="9">
        <f t="shared" si="3"/>
        <v>13249.5</v>
      </c>
      <c r="M18" s="9">
        <f t="shared" si="3"/>
        <v>14401.440000000002</v>
      </c>
      <c r="N18" s="9">
        <f t="shared" si="3"/>
        <v>15645.36</v>
      </c>
      <c r="O18" s="9">
        <f t="shared" si="3"/>
        <v>16981.259999999998</v>
      </c>
      <c r="P18" s="9">
        <f t="shared" si="3"/>
        <v>18409.14</v>
      </c>
      <c r="Q18" s="9">
        <f t="shared" si="3"/>
        <v>19929</v>
      </c>
    </row>
    <row r="19" spans="1:17" s="23" customFormat="1">
      <c r="A19" s="10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24" customFormat="1">
      <c r="A20" s="10" t="s">
        <v>27</v>
      </c>
      <c r="B20" s="10" t="s">
        <v>6</v>
      </c>
      <c r="C20" s="11">
        <v>5</v>
      </c>
      <c r="D20" s="11">
        <v>5</v>
      </c>
      <c r="E20" s="11">
        <v>5</v>
      </c>
      <c r="F20" s="11">
        <v>5</v>
      </c>
      <c r="G20" s="11">
        <v>5</v>
      </c>
      <c r="H20" s="11">
        <v>5</v>
      </c>
      <c r="I20" s="11">
        <v>5</v>
      </c>
      <c r="J20" s="11">
        <v>5</v>
      </c>
      <c r="K20" s="11">
        <v>5</v>
      </c>
      <c r="L20" s="11">
        <v>5</v>
      </c>
      <c r="M20" s="11">
        <v>5</v>
      </c>
      <c r="N20" s="11">
        <v>5</v>
      </c>
      <c r="O20" s="11">
        <v>5</v>
      </c>
      <c r="P20" s="11">
        <v>5</v>
      </c>
      <c r="Q20" s="11">
        <v>5</v>
      </c>
    </row>
    <row r="21" spans="1:17" s="24" customFormat="1">
      <c r="A21" s="10"/>
      <c r="B21" s="10" t="s">
        <v>0</v>
      </c>
      <c r="C21" s="11">
        <f>C18*C20</f>
        <v>6082.7249999999913</v>
      </c>
      <c r="D21" s="11">
        <f t="shared" ref="D21:Q21" si="4">D18*D20</f>
        <v>12285.90000000002</v>
      </c>
      <c r="E21" s="11">
        <f t="shared" si="4"/>
        <v>18609.525000000012</v>
      </c>
      <c r="F21" s="11">
        <f t="shared" si="4"/>
        <v>25053.600000000024</v>
      </c>
      <c r="G21" s="11">
        <f t="shared" si="4"/>
        <v>31618.125000000036</v>
      </c>
      <c r="H21" s="11">
        <f t="shared" si="4"/>
        <v>38303.100000000035</v>
      </c>
      <c r="I21" s="11">
        <f t="shared" si="4"/>
        <v>45108.525000000045</v>
      </c>
      <c r="J21" s="11">
        <f t="shared" si="4"/>
        <v>52034.400000000038</v>
      </c>
      <c r="K21" s="11">
        <f t="shared" si="4"/>
        <v>59080.725000000035</v>
      </c>
      <c r="L21" s="11">
        <f t="shared" si="4"/>
        <v>66247.5</v>
      </c>
      <c r="M21" s="11">
        <f t="shared" si="4"/>
        <v>72007.200000000012</v>
      </c>
      <c r="N21" s="11">
        <f t="shared" si="4"/>
        <v>78226.8</v>
      </c>
      <c r="O21" s="11">
        <f t="shared" si="4"/>
        <v>84906.299999999988</v>
      </c>
      <c r="P21" s="11">
        <f t="shared" si="4"/>
        <v>92045.7</v>
      </c>
      <c r="Q21" s="11">
        <f t="shared" si="4"/>
        <v>99645</v>
      </c>
    </row>
    <row r="22" spans="1:17" s="24" customFormat="1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24" customFormat="1">
      <c r="A23" s="10" t="s">
        <v>28</v>
      </c>
      <c r="B23" s="10" t="s">
        <v>4</v>
      </c>
      <c r="C23" s="11">
        <v>1.82</v>
      </c>
      <c r="D23" s="11">
        <v>1.82</v>
      </c>
      <c r="E23" s="11">
        <v>1.82</v>
      </c>
      <c r="F23" s="11">
        <v>1.82</v>
      </c>
      <c r="G23" s="11">
        <v>1.82</v>
      </c>
      <c r="H23" s="11">
        <v>1.82</v>
      </c>
      <c r="I23" s="11">
        <v>1.82</v>
      </c>
      <c r="J23" s="11">
        <v>1.82</v>
      </c>
      <c r="K23" s="11">
        <v>1.82</v>
      </c>
      <c r="L23" s="11">
        <v>1.82</v>
      </c>
      <c r="M23" s="11">
        <v>1.82</v>
      </c>
      <c r="N23" s="11">
        <v>1.82</v>
      </c>
      <c r="O23" s="11">
        <v>1.82</v>
      </c>
      <c r="P23" s="11">
        <v>1.82</v>
      </c>
      <c r="Q23" s="11">
        <v>1.82</v>
      </c>
    </row>
    <row r="24" spans="1:17" s="23" customFormat="1">
      <c r="A24" s="10"/>
      <c r="B24" s="8" t="s">
        <v>5</v>
      </c>
      <c r="C24" s="9">
        <f>C21*C23</f>
        <v>11070.559499999985</v>
      </c>
      <c r="D24" s="9">
        <f t="shared" ref="D24:Q24" si="5">D21*D23</f>
        <v>22360.338000000036</v>
      </c>
      <c r="E24" s="9">
        <f t="shared" si="5"/>
        <v>33869.335500000023</v>
      </c>
      <c r="F24" s="9">
        <f t="shared" si="5"/>
        <v>45597.552000000047</v>
      </c>
      <c r="G24" s="9">
        <f t="shared" si="5"/>
        <v>57544.987500000068</v>
      </c>
      <c r="H24" s="9">
        <f t="shared" si="5"/>
        <v>69711.642000000065</v>
      </c>
      <c r="I24" s="9">
        <f t="shared" si="5"/>
        <v>82097.515500000081</v>
      </c>
      <c r="J24" s="9">
        <f t="shared" si="5"/>
        <v>94702.608000000066</v>
      </c>
      <c r="K24" s="9">
        <f t="shared" si="5"/>
        <v>107526.91950000006</v>
      </c>
      <c r="L24" s="9">
        <f t="shared" si="5"/>
        <v>120570.45</v>
      </c>
      <c r="M24" s="9">
        <f t="shared" si="5"/>
        <v>131053.10400000002</v>
      </c>
      <c r="N24" s="9">
        <f t="shared" si="5"/>
        <v>142372.77600000001</v>
      </c>
      <c r="O24" s="9">
        <f t="shared" si="5"/>
        <v>154529.46599999999</v>
      </c>
      <c r="P24" s="9">
        <f t="shared" si="5"/>
        <v>167523.174</v>
      </c>
      <c r="Q24" s="9">
        <f t="shared" si="5"/>
        <v>181353.9</v>
      </c>
    </row>
    <row r="25" spans="1:17" s="23" customFormat="1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>
      <c r="A26" s="4" t="s">
        <v>7</v>
      </c>
      <c r="B26" s="6"/>
      <c r="C26" s="45" t="s">
        <v>60</v>
      </c>
      <c r="D26" s="45" t="s">
        <v>60</v>
      </c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  <c r="Q26" s="45" t="s">
        <v>60</v>
      </c>
    </row>
    <row r="27" spans="1:17">
      <c r="A27" s="4" t="s">
        <v>8</v>
      </c>
      <c r="B27" s="6"/>
      <c r="C27" s="45" t="s">
        <v>60</v>
      </c>
      <c r="D27" s="45" t="s">
        <v>60</v>
      </c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  <c r="Q27" s="45" t="s">
        <v>60</v>
      </c>
    </row>
    <row r="28" spans="1:17">
      <c r="A28" s="4" t="s">
        <v>9</v>
      </c>
      <c r="B28" s="6"/>
      <c r="C28" s="45" t="s">
        <v>60</v>
      </c>
      <c r="D28" s="45" t="s">
        <v>60</v>
      </c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  <c r="Q28" s="45" t="s">
        <v>60</v>
      </c>
    </row>
    <row r="29" spans="1:17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>
      <c r="A30" s="6" t="s">
        <v>39</v>
      </c>
      <c r="B30" s="6" t="s">
        <v>40</v>
      </c>
      <c r="C30" s="16">
        <f>C24/C18</f>
        <v>9.1000000000000014</v>
      </c>
      <c r="D30" s="16">
        <f t="shared" ref="D30:Q30" si="6">D24/D18</f>
        <v>9.1</v>
      </c>
      <c r="E30" s="16">
        <f t="shared" si="6"/>
        <v>9.1</v>
      </c>
      <c r="F30" s="16">
        <f t="shared" si="6"/>
        <v>9.1000000000000014</v>
      </c>
      <c r="G30" s="16">
        <f t="shared" si="6"/>
        <v>9.1</v>
      </c>
      <c r="H30" s="16">
        <f t="shared" si="6"/>
        <v>9.1000000000000014</v>
      </c>
      <c r="I30" s="16">
        <f t="shared" si="6"/>
        <v>9.1</v>
      </c>
      <c r="J30" s="16">
        <f t="shared" si="6"/>
        <v>9.1</v>
      </c>
      <c r="K30" s="16">
        <f t="shared" si="6"/>
        <v>9.1</v>
      </c>
      <c r="L30" s="16">
        <f t="shared" si="6"/>
        <v>9.1</v>
      </c>
      <c r="M30" s="16">
        <f t="shared" si="6"/>
        <v>9.1</v>
      </c>
      <c r="N30" s="16">
        <f t="shared" si="6"/>
        <v>9.1</v>
      </c>
      <c r="O30" s="16">
        <f t="shared" si="6"/>
        <v>9.1</v>
      </c>
      <c r="P30" s="16">
        <f t="shared" si="6"/>
        <v>9.1</v>
      </c>
      <c r="Q30" s="16">
        <f t="shared" si="6"/>
        <v>9.1</v>
      </c>
    </row>
    <row r="31" spans="1:17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23" customFormat="1">
      <c r="A32" s="10" t="s">
        <v>47</v>
      </c>
      <c r="B32" s="8" t="s">
        <v>3</v>
      </c>
      <c r="C32" s="64">
        <f>'Ingenomen volumes (%)'!C10</f>
        <v>4.212545879212546E-2</v>
      </c>
      <c r="D32" s="64">
        <f>'Ingenomen volumes (%)'!D10</f>
        <v>8.5085085085085277E-2</v>
      </c>
      <c r="E32" s="64">
        <f>'Ingenomen volumes (%)'!E10</f>
        <v>0.12887887887887906</v>
      </c>
      <c r="F32" s="64">
        <f>'Ingenomen volumes (%)'!F10</f>
        <v>0.17350684017350704</v>
      </c>
      <c r="G32" s="64">
        <f>'Ingenomen volumes (%)'!G10</f>
        <v>0.21896896896896917</v>
      </c>
      <c r="H32" s="64">
        <f>'Ingenomen volumes (%)'!H10</f>
        <v>0.26526526526526556</v>
      </c>
      <c r="I32" s="64">
        <f>'Ingenomen volumes (%)'!I10</f>
        <v>0.31239572906239599</v>
      </c>
      <c r="J32" s="64">
        <f>'Ingenomen volumes (%)'!J10</f>
        <v>0.36036036036036062</v>
      </c>
      <c r="K32" s="64">
        <f>'Ingenomen volumes (%)'!K10</f>
        <v>0.40915915915915946</v>
      </c>
      <c r="L32" s="64">
        <f>'Ingenomen volumes (%)'!L10</f>
        <v>0.45879212545879211</v>
      </c>
      <c r="M32" s="64">
        <f>'Ingenomen volumes (%)'!M10</f>
        <v>0.49868049868049869</v>
      </c>
      <c r="N32" s="64">
        <f>'Ingenomen volumes (%)'!N10</f>
        <v>0.5417538750872084</v>
      </c>
      <c r="O32" s="64">
        <f>'Ingenomen volumes (%)'!O10</f>
        <v>0.58801225467892138</v>
      </c>
      <c r="P32" s="64">
        <f>'Ingenomen volumes (%)'!P10</f>
        <v>0.63745563745563749</v>
      </c>
      <c r="Q32" s="64">
        <f>'Ingenomen volumes (%)'!Q10</f>
        <v>0.69008402341735675</v>
      </c>
    </row>
    <row r="33" spans="1:17" s="23" customFormat="1">
      <c r="A33" s="8"/>
      <c r="B33" s="8"/>
      <c r="C33" s="65"/>
      <c r="D33" s="66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>
      <c r="A34" s="6" t="s">
        <v>32</v>
      </c>
      <c r="B34" s="6" t="s">
        <v>19</v>
      </c>
      <c r="C34" s="13">
        <v>80</v>
      </c>
      <c r="D34" s="13">
        <v>80</v>
      </c>
      <c r="E34" s="13">
        <v>80</v>
      </c>
      <c r="F34" s="13">
        <v>80</v>
      </c>
      <c r="G34" s="13">
        <v>80</v>
      </c>
      <c r="H34" s="13">
        <v>80</v>
      </c>
      <c r="I34" s="13">
        <v>80</v>
      </c>
      <c r="J34" s="13">
        <v>80</v>
      </c>
      <c r="K34" s="13">
        <v>80</v>
      </c>
      <c r="L34" s="13">
        <v>80</v>
      </c>
      <c r="M34" s="13">
        <v>80</v>
      </c>
      <c r="N34" s="13">
        <v>80</v>
      </c>
      <c r="O34" s="13">
        <v>80</v>
      </c>
      <c r="P34" s="13">
        <v>80</v>
      </c>
      <c r="Q34" s="13">
        <v>80</v>
      </c>
    </row>
    <row r="35" spans="1:17">
      <c r="A35" s="6" t="s">
        <v>44</v>
      </c>
      <c r="B35" s="6" t="s">
        <v>19</v>
      </c>
      <c r="C35" s="13">
        <f>C24/(C5*C7*C32)</f>
        <v>2.3999975999999967</v>
      </c>
      <c r="D35" s="13">
        <f t="shared" ref="D35:Q35" si="7">D24/(D5*D7*D32)</f>
        <v>2.3999975999999985</v>
      </c>
      <c r="E35" s="13">
        <f t="shared" si="7"/>
        <v>2.3999975999999981</v>
      </c>
      <c r="F35" s="13">
        <f t="shared" si="7"/>
        <v>2.3999975999999998</v>
      </c>
      <c r="G35" s="13">
        <f t="shared" si="7"/>
        <v>2.3999976000000007</v>
      </c>
      <c r="H35" s="13">
        <f t="shared" si="7"/>
        <v>2.3999975999999994</v>
      </c>
      <c r="I35" s="13">
        <f t="shared" si="7"/>
        <v>2.3999976000000003</v>
      </c>
      <c r="J35" s="13">
        <f t="shared" si="7"/>
        <v>2.3999975999999998</v>
      </c>
      <c r="K35" s="13">
        <f t="shared" si="7"/>
        <v>2.3999975999999998</v>
      </c>
      <c r="L35" s="13">
        <f t="shared" si="7"/>
        <v>2.3999976000000003</v>
      </c>
      <c r="M35" s="13">
        <f t="shared" si="7"/>
        <v>2.3999976000000003</v>
      </c>
      <c r="N35" s="13">
        <f t="shared" si="7"/>
        <v>2.3999976000000003</v>
      </c>
      <c r="O35" s="13">
        <f t="shared" si="7"/>
        <v>2.3999975999999994</v>
      </c>
      <c r="P35" s="13">
        <f t="shared" si="7"/>
        <v>2.3999975999999998</v>
      </c>
      <c r="Q35" s="13">
        <f t="shared" si="7"/>
        <v>2.3999975999999998</v>
      </c>
    </row>
    <row r="36" spans="1:17">
      <c r="A36" s="6" t="s">
        <v>33</v>
      </c>
      <c r="B36" s="6" t="s">
        <v>19</v>
      </c>
      <c r="C36" s="13">
        <f>C34+C35</f>
        <v>82.399997599999992</v>
      </c>
      <c r="D36" s="13">
        <f t="shared" ref="D36:Q36" si="8">D34+D35</f>
        <v>82.399997599999992</v>
      </c>
      <c r="E36" s="13">
        <f t="shared" si="8"/>
        <v>82.399997599999992</v>
      </c>
      <c r="F36" s="13">
        <f t="shared" si="8"/>
        <v>82.399997600000006</v>
      </c>
      <c r="G36" s="13">
        <f t="shared" si="8"/>
        <v>82.399997600000006</v>
      </c>
      <c r="H36" s="13">
        <f t="shared" si="8"/>
        <v>82.399997600000006</v>
      </c>
      <c r="I36" s="13">
        <f t="shared" si="8"/>
        <v>82.399997600000006</v>
      </c>
      <c r="J36" s="13">
        <f t="shared" si="8"/>
        <v>82.399997600000006</v>
      </c>
      <c r="K36" s="13">
        <f t="shared" si="8"/>
        <v>82.399997600000006</v>
      </c>
      <c r="L36" s="13">
        <f t="shared" si="8"/>
        <v>82.399997600000006</v>
      </c>
      <c r="M36" s="13">
        <f t="shared" si="8"/>
        <v>82.399997600000006</v>
      </c>
      <c r="N36" s="13">
        <f t="shared" si="8"/>
        <v>82.399997600000006</v>
      </c>
      <c r="O36" s="13">
        <f t="shared" si="8"/>
        <v>82.399997600000006</v>
      </c>
      <c r="P36" s="13">
        <f t="shared" si="8"/>
        <v>82.399997600000006</v>
      </c>
      <c r="Q36" s="13">
        <f t="shared" si="8"/>
        <v>82.399997600000006</v>
      </c>
    </row>
    <row r="37" spans="1:17">
      <c r="A37" s="6"/>
      <c r="B37" s="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6" t="s">
        <v>45</v>
      </c>
      <c r="B38" s="6" t="s">
        <v>19</v>
      </c>
      <c r="C38" s="13">
        <v>160</v>
      </c>
      <c r="D38" s="13">
        <v>160</v>
      </c>
      <c r="E38" s="13">
        <v>160</v>
      </c>
      <c r="F38" s="13">
        <v>160</v>
      </c>
      <c r="G38" s="13">
        <v>160</v>
      </c>
      <c r="H38" s="13">
        <v>160</v>
      </c>
      <c r="I38" s="13">
        <v>160</v>
      </c>
      <c r="J38" s="13">
        <v>160</v>
      </c>
      <c r="K38" s="13">
        <v>160</v>
      </c>
      <c r="L38" s="13">
        <v>160</v>
      </c>
      <c r="M38" s="13">
        <v>160</v>
      </c>
      <c r="N38" s="13">
        <v>160</v>
      </c>
      <c r="O38" s="13">
        <v>160</v>
      </c>
      <c r="P38" s="13">
        <v>160</v>
      </c>
      <c r="Q38" s="13">
        <v>160</v>
      </c>
    </row>
    <row r="39" spans="1:17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A40" s="6" t="s">
        <v>29</v>
      </c>
      <c r="B40" s="6" t="s">
        <v>20</v>
      </c>
      <c r="C40" s="13">
        <v>5.827647058823529</v>
      </c>
      <c r="D40" s="13">
        <v>5.827647058823529</v>
      </c>
      <c r="E40" s="13">
        <v>5.827647058823529</v>
      </c>
      <c r="F40" s="13">
        <v>5.827647058823529</v>
      </c>
      <c r="G40" s="13">
        <v>5.827647058823529</v>
      </c>
      <c r="H40" s="13">
        <v>5.827647058823529</v>
      </c>
      <c r="I40" s="13">
        <v>5.827647058823529</v>
      </c>
      <c r="J40" s="13">
        <v>5.827647058823529</v>
      </c>
      <c r="K40" s="13">
        <v>5.827647058823529</v>
      </c>
      <c r="L40" s="13">
        <v>5.827647058823529</v>
      </c>
      <c r="M40" s="13">
        <v>5.827647058823529</v>
      </c>
      <c r="N40" s="13">
        <v>5.827647058823529</v>
      </c>
      <c r="O40" s="13">
        <v>5.827647058823529</v>
      </c>
      <c r="P40" s="13">
        <v>5.827647058823529</v>
      </c>
      <c r="Q40" s="13">
        <v>5.827647058823529</v>
      </c>
    </row>
    <row r="41" spans="1:17">
      <c r="A41" s="6"/>
      <c r="B41" s="6" t="s">
        <v>20</v>
      </c>
      <c r="C41" s="13">
        <v>29.149090909090908</v>
      </c>
      <c r="D41" s="13">
        <v>29.149090909090908</v>
      </c>
      <c r="E41" s="13">
        <v>29.149090909090908</v>
      </c>
      <c r="F41" s="13">
        <v>29.149090909090908</v>
      </c>
      <c r="G41" s="13">
        <v>29.149090909090908</v>
      </c>
      <c r="H41" s="13">
        <v>29.149090909090908</v>
      </c>
      <c r="I41" s="13">
        <v>29.149090909090908</v>
      </c>
      <c r="J41" s="13">
        <v>29.149090909090908</v>
      </c>
      <c r="K41" s="13">
        <v>29.149090909090908</v>
      </c>
      <c r="L41" s="13">
        <v>29.149090909090908</v>
      </c>
      <c r="M41" s="13">
        <v>29.149090909090908</v>
      </c>
      <c r="N41" s="13">
        <v>29.149090909090908</v>
      </c>
      <c r="O41" s="13">
        <v>29.149090909090908</v>
      </c>
      <c r="P41" s="13">
        <v>29.149090909090908</v>
      </c>
      <c r="Q41" s="13">
        <v>29.149090909090908</v>
      </c>
    </row>
    <row r="42" spans="1:17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A43" s="6" t="s">
        <v>61</v>
      </c>
      <c r="B43" s="6" t="s">
        <v>21</v>
      </c>
      <c r="C43" s="12">
        <f>100/C40*C35</f>
        <v>41.182960734833898</v>
      </c>
      <c r="D43" s="12">
        <f t="shared" ref="D43:P43" si="9">100/D40*D35</f>
        <v>41.182960734833934</v>
      </c>
      <c r="E43" s="12">
        <f t="shared" si="9"/>
        <v>41.182960734833927</v>
      </c>
      <c r="F43" s="12">
        <f t="shared" si="9"/>
        <v>41.182960734833955</v>
      </c>
      <c r="G43" s="12">
        <f t="shared" si="9"/>
        <v>41.182960734833969</v>
      </c>
      <c r="H43" s="12">
        <f t="shared" si="9"/>
        <v>41.182960734833948</v>
      </c>
      <c r="I43" s="12">
        <f t="shared" si="9"/>
        <v>41.182960734833962</v>
      </c>
      <c r="J43" s="12">
        <f t="shared" si="9"/>
        <v>41.182960734833955</v>
      </c>
      <c r="K43" s="12">
        <f t="shared" si="9"/>
        <v>41.182960734833955</v>
      </c>
      <c r="L43" s="12">
        <f t="shared" si="9"/>
        <v>41.182960734833962</v>
      </c>
      <c r="M43" s="12">
        <f t="shared" si="9"/>
        <v>41.182960734833962</v>
      </c>
      <c r="N43" s="12">
        <f t="shared" si="9"/>
        <v>41.182960734833962</v>
      </c>
      <c r="O43" s="12">
        <f t="shared" si="9"/>
        <v>41.182960734833948</v>
      </c>
      <c r="P43" s="12">
        <f t="shared" si="9"/>
        <v>41.182960734833955</v>
      </c>
      <c r="Q43" s="12">
        <f>100/Q40*Q35</f>
        <v>41.182960734833955</v>
      </c>
    </row>
    <row r="44" spans="1:17">
      <c r="A44" s="6"/>
      <c r="B44" s="6" t="s">
        <v>21</v>
      </c>
      <c r="C44" s="12">
        <f>100/C41*C35</f>
        <v>8.2335247005987906</v>
      </c>
      <c r="D44" s="12">
        <f t="shared" ref="D44:Q44" si="10">100/D41*D35</f>
        <v>8.2335247005987977</v>
      </c>
      <c r="E44" s="12">
        <f t="shared" si="10"/>
        <v>8.2335247005987959</v>
      </c>
      <c r="F44" s="12">
        <f t="shared" si="10"/>
        <v>8.2335247005988013</v>
      </c>
      <c r="G44" s="12">
        <f t="shared" si="10"/>
        <v>8.2335247005988048</v>
      </c>
      <c r="H44" s="12">
        <f t="shared" si="10"/>
        <v>8.2335247005987995</v>
      </c>
      <c r="I44" s="12">
        <f t="shared" si="10"/>
        <v>8.233524700598803</v>
      </c>
      <c r="J44" s="12">
        <f t="shared" si="10"/>
        <v>8.2335247005988013</v>
      </c>
      <c r="K44" s="12">
        <f t="shared" si="10"/>
        <v>8.2335247005988013</v>
      </c>
      <c r="L44" s="12">
        <f t="shared" si="10"/>
        <v>8.233524700598803</v>
      </c>
      <c r="M44" s="12">
        <f t="shared" si="10"/>
        <v>8.233524700598803</v>
      </c>
      <c r="N44" s="12">
        <f t="shared" si="10"/>
        <v>8.233524700598803</v>
      </c>
      <c r="O44" s="12">
        <f t="shared" si="10"/>
        <v>8.2335247005987995</v>
      </c>
      <c r="P44" s="12">
        <f t="shared" si="10"/>
        <v>8.2335247005988013</v>
      </c>
      <c r="Q44" s="12">
        <f t="shared" si="10"/>
        <v>8.2335247005988013</v>
      </c>
    </row>
    <row r="45" spans="1:17">
      <c r="A45" s="6" t="s">
        <v>62</v>
      </c>
      <c r="B45" s="6" t="s">
        <v>21</v>
      </c>
      <c r="C45" s="12">
        <f>C43/2</f>
        <v>20.591480367416949</v>
      </c>
      <c r="D45" s="12">
        <f t="shared" ref="D45:Q45" si="11">D43/2</f>
        <v>20.591480367416967</v>
      </c>
      <c r="E45" s="12">
        <f t="shared" si="11"/>
        <v>20.591480367416963</v>
      </c>
      <c r="F45" s="12">
        <f t="shared" si="11"/>
        <v>20.591480367416978</v>
      </c>
      <c r="G45" s="12">
        <f t="shared" si="11"/>
        <v>20.591480367416985</v>
      </c>
      <c r="H45" s="12">
        <f t="shared" si="11"/>
        <v>20.591480367416974</v>
      </c>
      <c r="I45" s="12">
        <f t="shared" si="11"/>
        <v>20.591480367416981</v>
      </c>
      <c r="J45" s="12">
        <f t="shared" si="11"/>
        <v>20.591480367416978</v>
      </c>
      <c r="K45" s="12">
        <f t="shared" si="11"/>
        <v>20.591480367416978</v>
      </c>
      <c r="L45" s="12">
        <f t="shared" si="11"/>
        <v>20.591480367416981</v>
      </c>
      <c r="M45" s="12">
        <f t="shared" si="11"/>
        <v>20.591480367416981</v>
      </c>
      <c r="N45" s="12">
        <f t="shared" si="11"/>
        <v>20.591480367416981</v>
      </c>
      <c r="O45" s="12">
        <f t="shared" si="11"/>
        <v>20.591480367416974</v>
      </c>
      <c r="P45" s="12">
        <f t="shared" si="11"/>
        <v>20.591480367416978</v>
      </c>
      <c r="Q45" s="12">
        <f t="shared" si="11"/>
        <v>20.591480367416978</v>
      </c>
    </row>
    <row r="46" spans="1:17">
      <c r="A46" s="6"/>
      <c r="B46" s="6" t="s">
        <v>21</v>
      </c>
      <c r="C46" s="12">
        <f>C44/2</f>
        <v>4.1167623502993953</v>
      </c>
      <c r="D46" s="12">
        <f t="shared" ref="D46:Q46" si="12">D44/2</f>
        <v>4.1167623502993989</v>
      </c>
      <c r="E46" s="12">
        <f t="shared" si="12"/>
        <v>4.116762350299398</v>
      </c>
      <c r="F46" s="12">
        <f t="shared" si="12"/>
        <v>4.1167623502994006</v>
      </c>
      <c r="G46" s="12">
        <f t="shared" si="12"/>
        <v>4.1167623502994024</v>
      </c>
      <c r="H46" s="12">
        <f t="shared" si="12"/>
        <v>4.1167623502993997</v>
      </c>
      <c r="I46" s="12">
        <f t="shared" si="12"/>
        <v>4.1167623502994015</v>
      </c>
      <c r="J46" s="12">
        <f t="shared" si="12"/>
        <v>4.1167623502994006</v>
      </c>
      <c r="K46" s="12">
        <f t="shared" si="12"/>
        <v>4.1167623502994006</v>
      </c>
      <c r="L46" s="12">
        <f t="shared" si="12"/>
        <v>4.1167623502994015</v>
      </c>
      <c r="M46" s="12">
        <f t="shared" si="12"/>
        <v>4.1167623502994015</v>
      </c>
      <c r="N46" s="12">
        <f t="shared" si="12"/>
        <v>4.1167623502994015</v>
      </c>
      <c r="O46" s="12">
        <f t="shared" si="12"/>
        <v>4.1167623502993997</v>
      </c>
      <c r="P46" s="12">
        <f t="shared" si="12"/>
        <v>4.1167623502994006</v>
      </c>
      <c r="Q46" s="12">
        <f t="shared" si="12"/>
        <v>4.1167623502994006</v>
      </c>
    </row>
    <row r="48" spans="1:17">
      <c r="A48" s="21" t="s">
        <v>34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8">
      <c r="A49" s="21" t="s">
        <v>35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8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>
      <c r="A51" s="28"/>
    </row>
  </sheetData>
  <mergeCells count="1">
    <mergeCell ref="C3:Q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zoomScale="80" zoomScaleNormal="80" workbookViewId="0">
      <selection activeCell="E1" sqref="E1"/>
    </sheetView>
  </sheetViews>
  <sheetFormatPr defaultRowHeight="12.75"/>
  <cols>
    <col min="1" max="1" width="3.7109375" style="3" bestFit="1" customWidth="1"/>
    <col min="2" max="8" width="20.7109375" style="3" customWidth="1"/>
    <col min="9" max="16384" width="9.140625" style="3"/>
  </cols>
  <sheetData>
    <row r="1" spans="1:8" ht="51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</row>
    <row r="2" spans="1:8">
      <c r="A2" s="2"/>
      <c r="B2" s="2"/>
      <c r="C2" s="2"/>
      <c r="D2" s="1" t="s">
        <v>18</v>
      </c>
      <c r="E2" s="1">
        <v>6734000</v>
      </c>
      <c r="F2" s="1">
        <v>1849000</v>
      </c>
      <c r="G2" s="1">
        <v>97500</v>
      </c>
      <c r="H2" s="1">
        <v>168000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"/>
  <sheetViews>
    <sheetView workbookViewId="0">
      <selection sqref="A1:XFD1048576"/>
    </sheetView>
  </sheetViews>
  <sheetFormatPr defaultRowHeight="12.75"/>
  <cols>
    <col min="1" max="1" width="13.5703125" style="30" bestFit="1" customWidth="1"/>
    <col min="2" max="2" width="5.140625" style="30" bestFit="1" customWidth="1"/>
    <col min="3" max="3" width="5.5703125" style="30" bestFit="1" customWidth="1"/>
    <col min="4" max="12" width="5.140625" style="30" bestFit="1" customWidth="1"/>
    <col min="13" max="13" width="5.5703125" style="30" bestFit="1" customWidth="1"/>
    <col min="14" max="17" width="5.140625" style="30" bestFit="1" customWidth="1"/>
    <col min="18" max="16384" width="9.140625" style="30"/>
  </cols>
  <sheetData>
    <row r="1" spans="1:17" s="61" customFormat="1">
      <c r="A1" s="61" t="s">
        <v>48</v>
      </c>
      <c r="B1" s="62">
        <v>500</v>
      </c>
      <c r="C1" s="62">
        <v>475</v>
      </c>
      <c r="D1" s="62">
        <v>450</v>
      </c>
      <c r="E1" s="62">
        <v>425</v>
      </c>
      <c r="F1" s="62">
        <v>400</v>
      </c>
      <c r="G1" s="62">
        <v>375</v>
      </c>
      <c r="H1" s="62">
        <v>350</v>
      </c>
      <c r="I1" s="62">
        <v>325</v>
      </c>
      <c r="J1" s="62">
        <v>300</v>
      </c>
      <c r="K1" s="62">
        <v>275</v>
      </c>
      <c r="L1" s="62">
        <v>250</v>
      </c>
      <c r="M1" s="62">
        <v>225</v>
      </c>
      <c r="N1" s="62">
        <v>200</v>
      </c>
      <c r="O1" s="62">
        <v>175</v>
      </c>
      <c r="P1" s="62">
        <v>150</v>
      </c>
      <c r="Q1" s="62">
        <v>125</v>
      </c>
    </row>
    <row r="2" spans="1:17" s="61" customFormat="1">
      <c r="A2" s="61" t="s">
        <v>51</v>
      </c>
      <c r="B2" s="63">
        <f>[1]Sheet2!$C$1</f>
        <v>0.52800000000000002</v>
      </c>
      <c r="C2" s="63">
        <f t="shared" ref="C2:K2" si="0">B2+$C$3</f>
        <v>0.53239999999999998</v>
      </c>
      <c r="D2" s="63">
        <f t="shared" si="0"/>
        <v>0.53679999999999994</v>
      </c>
      <c r="E2" s="63">
        <f t="shared" si="0"/>
        <v>0.5411999999999999</v>
      </c>
      <c r="F2" s="63">
        <f t="shared" si="0"/>
        <v>0.54559999999999986</v>
      </c>
      <c r="G2" s="63">
        <f t="shared" si="0"/>
        <v>0.54999999999999982</v>
      </c>
      <c r="H2" s="63">
        <f t="shared" si="0"/>
        <v>0.55439999999999978</v>
      </c>
      <c r="I2" s="63">
        <f t="shared" si="0"/>
        <v>0.55879999999999974</v>
      </c>
      <c r="J2" s="63">
        <f t="shared" si="0"/>
        <v>0.5631999999999997</v>
      </c>
      <c r="K2" s="63">
        <f t="shared" si="0"/>
        <v>0.56759999999999966</v>
      </c>
      <c r="L2" s="63">
        <f>[1]Sheet2!$G$1</f>
        <v>0.57199999999999995</v>
      </c>
      <c r="M2" s="63">
        <f>L2+$M$3</f>
        <v>0.58879999999999999</v>
      </c>
      <c r="N2" s="63">
        <f>M2+$M$3</f>
        <v>0.60560000000000003</v>
      </c>
      <c r="O2" s="63">
        <f>N2+$M$3</f>
        <v>0.62240000000000006</v>
      </c>
      <c r="P2" s="63">
        <f>O2+$M$3</f>
        <v>0.6392000000000001</v>
      </c>
      <c r="Q2" s="63">
        <f>[1]Sheet2!$K$1</f>
        <v>0.65600000000000003</v>
      </c>
    </row>
    <row r="3" spans="1:17" s="61" customFormat="1">
      <c r="B3" s="62"/>
      <c r="C3" s="63">
        <f>(L2-B2)/10</f>
        <v>4.3999999999999925E-3</v>
      </c>
      <c r="D3" s="62"/>
      <c r="E3" s="62"/>
      <c r="F3" s="62"/>
      <c r="G3" s="62"/>
      <c r="H3" s="62"/>
      <c r="I3" s="62"/>
      <c r="J3" s="62"/>
      <c r="K3" s="62"/>
      <c r="L3" s="62"/>
      <c r="M3" s="62">
        <f>(Q2-L2)/5</f>
        <v>1.6800000000000016E-2</v>
      </c>
      <c r="N3" s="62"/>
      <c r="O3" s="62"/>
      <c r="P3" s="62"/>
      <c r="Q3" s="62"/>
    </row>
    <row r="4" spans="1:17" s="61" customFormat="1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"/>
  <sheetViews>
    <sheetView zoomScale="80" zoomScaleNormal="80" workbookViewId="0">
      <selection activeCell="A5" sqref="A5:XFD5"/>
    </sheetView>
  </sheetViews>
  <sheetFormatPr defaultRowHeight="12.75"/>
  <cols>
    <col min="1" max="1" width="75.7109375" style="6" bestFit="1" customWidth="1"/>
    <col min="2" max="2" width="16.7109375" style="6" customWidth="1"/>
    <col min="3" max="3" width="20.85546875" style="6" bestFit="1" customWidth="1"/>
    <col min="4" max="17" width="17" style="6" bestFit="1" customWidth="1"/>
    <col min="18" max="16384" width="9.140625" style="6"/>
  </cols>
  <sheetData>
    <row r="1" spans="1:17" s="4" customFormat="1">
      <c r="A1" s="4" t="s">
        <v>22</v>
      </c>
      <c r="B1" s="4" t="s">
        <v>1</v>
      </c>
      <c r="C1" s="18">
        <v>300</v>
      </c>
      <c r="D1" s="18">
        <v>300</v>
      </c>
      <c r="E1" s="18">
        <v>300</v>
      </c>
      <c r="F1" s="18">
        <v>300</v>
      </c>
      <c r="G1" s="18">
        <v>300</v>
      </c>
      <c r="H1" s="18">
        <v>300</v>
      </c>
      <c r="I1" s="18">
        <v>300</v>
      </c>
      <c r="J1" s="18">
        <v>300</v>
      </c>
      <c r="K1" s="18">
        <v>300</v>
      </c>
      <c r="L1" s="18">
        <v>300</v>
      </c>
      <c r="M1" s="18">
        <v>300</v>
      </c>
      <c r="N1" s="18">
        <v>300</v>
      </c>
      <c r="O1" s="18">
        <v>300</v>
      </c>
      <c r="P1" s="18">
        <v>300</v>
      </c>
      <c r="Q1" s="18">
        <v>300</v>
      </c>
    </row>
    <row r="2" spans="1:17" s="4" customFormat="1">
      <c r="A2" s="4" t="s">
        <v>22</v>
      </c>
      <c r="B2" s="4" t="s">
        <v>42</v>
      </c>
      <c r="C2" s="18">
        <f>C1*1000</f>
        <v>300000</v>
      </c>
      <c r="D2" s="18">
        <f t="shared" ref="D2:Q2" si="0">D1*1000</f>
        <v>300000</v>
      </c>
      <c r="E2" s="18">
        <f t="shared" si="0"/>
        <v>300000</v>
      </c>
      <c r="F2" s="18">
        <f t="shared" si="0"/>
        <v>300000</v>
      </c>
      <c r="G2" s="18">
        <f t="shared" si="0"/>
        <v>300000</v>
      </c>
      <c r="H2" s="18">
        <f t="shared" si="0"/>
        <v>300000</v>
      </c>
      <c r="I2" s="18">
        <f t="shared" si="0"/>
        <v>300000</v>
      </c>
      <c r="J2" s="18">
        <f t="shared" si="0"/>
        <v>300000</v>
      </c>
      <c r="K2" s="18">
        <f t="shared" si="0"/>
        <v>300000</v>
      </c>
      <c r="L2" s="18">
        <f t="shared" si="0"/>
        <v>300000</v>
      </c>
      <c r="M2" s="18">
        <f t="shared" si="0"/>
        <v>300000</v>
      </c>
      <c r="N2" s="18">
        <f t="shared" si="0"/>
        <v>300000</v>
      </c>
      <c r="O2" s="18">
        <f t="shared" si="0"/>
        <v>300000</v>
      </c>
      <c r="P2" s="18">
        <f t="shared" si="0"/>
        <v>300000</v>
      </c>
      <c r="Q2" s="18">
        <f t="shared" si="0"/>
        <v>300000</v>
      </c>
    </row>
    <row r="3" spans="1:17" s="4" customForma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>
      <c r="A4" s="6" t="s">
        <v>36</v>
      </c>
      <c r="B4" s="6" t="s">
        <v>43</v>
      </c>
      <c r="C4" s="18">
        <f>'Scenario 2'!C13</f>
        <v>264</v>
      </c>
      <c r="D4" s="18">
        <f>'Scenario 2'!D13</f>
        <v>264</v>
      </c>
      <c r="E4" s="18">
        <f>'Scenario 2'!E13</f>
        <v>264</v>
      </c>
      <c r="F4" s="18">
        <f>'Scenario 2'!F13</f>
        <v>264</v>
      </c>
      <c r="G4" s="18">
        <f>'Scenario 2'!G13</f>
        <v>264</v>
      </c>
      <c r="H4" s="18">
        <f>'Scenario 2'!H13</f>
        <v>264</v>
      </c>
      <c r="I4" s="18">
        <f>'Scenario 2'!I13</f>
        <v>264</v>
      </c>
      <c r="J4" s="18">
        <f>'Scenario 2'!J13</f>
        <v>264</v>
      </c>
      <c r="K4" s="18">
        <f>'Scenario 2'!K13</f>
        <v>264</v>
      </c>
      <c r="L4" s="18">
        <f>'Scenario 2'!L13</f>
        <v>264</v>
      </c>
      <c r="M4" s="18">
        <f>'Scenario 2'!M13</f>
        <v>264</v>
      </c>
      <c r="N4" s="18">
        <f>'Scenario 2'!N13</f>
        <v>264</v>
      </c>
      <c r="O4" s="18">
        <f>'Scenario 2'!O13</f>
        <v>264</v>
      </c>
      <c r="P4" s="18">
        <f>'Scenario 2'!P13</f>
        <v>264</v>
      </c>
      <c r="Q4" s="18">
        <f>'Scenario 2'!Q13</f>
        <v>264</v>
      </c>
    </row>
    <row r="5" spans="1:17" s="4" customFormat="1">
      <c r="A5" s="4" t="s">
        <v>37</v>
      </c>
      <c r="B5" s="4" t="s">
        <v>43</v>
      </c>
      <c r="C5" s="18">
        <f>'Scenario 2'!C14</f>
        <v>252.89</v>
      </c>
      <c r="D5" s="18">
        <f>'Scenario 2'!D14</f>
        <v>241.55999999999997</v>
      </c>
      <c r="E5" s="18">
        <f>'Scenario 2'!E14</f>
        <v>230.00999999999996</v>
      </c>
      <c r="F5" s="18">
        <f>'Scenario 2'!F14</f>
        <v>218.23999999999995</v>
      </c>
      <c r="G5" s="18">
        <f>'Scenario 2'!G14</f>
        <v>206.24999999999994</v>
      </c>
      <c r="H5" s="18">
        <f>'Scenario 2'!H14</f>
        <v>194.03999999999994</v>
      </c>
      <c r="I5" s="18">
        <f>'Scenario 2'!I14</f>
        <v>181.60999999999993</v>
      </c>
      <c r="J5" s="18">
        <f>'Scenario 2'!J14</f>
        <v>168.95999999999992</v>
      </c>
      <c r="K5" s="18">
        <f>'Scenario 2'!K14</f>
        <v>156.08999999999992</v>
      </c>
      <c r="L5" s="18">
        <f>'Scenario 2'!L14</f>
        <v>143</v>
      </c>
      <c r="M5" s="18">
        <f>'Scenario 2'!M14</f>
        <v>132.47999999999999</v>
      </c>
      <c r="N5" s="18">
        <f>'Scenario 2'!N14</f>
        <v>121.12</v>
      </c>
      <c r="O5" s="18">
        <f>'Scenario 2'!O14</f>
        <v>108.92000000000002</v>
      </c>
      <c r="P5" s="18">
        <f>'Scenario 2'!P14</f>
        <v>95.88000000000001</v>
      </c>
      <c r="Q5" s="18">
        <f>'Scenario 2'!Q14</f>
        <v>82</v>
      </c>
    </row>
    <row r="6" spans="1:17" ht="14.25">
      <c r="A6" s="6" t="s">
        <v>26</v>
      </c>
      <c r="B6" s="6" t="s">
        <v>38</v>
      </c>
      <c r="C6" s="18">
        <f>C4-C5</f>
        <v>11.110000000000014</v>
      </c>
      <c r="D6" s="18">
        <f t="shared" ref="D6:Q6" si="1">D4-D5</f>
        <v>22.440000000000026</v>
      </c>
      <c r="E6" s="18">
        <f t="shared" si="1"/>
        <v>33.990000000000038</v>
      </c>
      <c r="F6" s="18">
        <f t="shared" si="1"/>
        <v>45.760000000000048</v>
      </c>
      <c r="G6" s="18">
        <f t="shared" si="1"/>
        <v>57.750000000000057</v>
      </c>
      <c r="H6" s="18">
        <f t="shared" si="1"/>
        <v>69.960000000000065</v>
      </c>
      <c r="I6" s="18">
        <f t="shared" si="1"/>
        <v>82.390000000000072</v>
      </c>
      <c r="J6" s="18">
        <f t="shared" si="1"/>
        <v>95.040000000000077</v>
      </c>
      <c r="K6" s="18">
        <f t="shared" si="1"/>
        <v>107.91000000000008</v>
      </c>
      <c r="L6" s="18">
        <f t="shared" si="1"/>
        <v>121</v>
      </c>
      <c r="M6" s="18">
        <f t="shared" si="1"/>
        <v>131.52000000000001</v>
      </c>
      <c r="N6" s="18">
        <f t="shared" si="1"/>
        <v>142.88</v>
      </c>
      <c r="O6" s="18">
        <f t="shared" si="1"/>
        <v>155.07999999999998</v>
      </c>
      <c r="P6" s="18">
        <f t="shared" si="1"/>
        <v>168.12</v>
      </c>
      <c r="Q6" s="18">
        <f t="shared" si="1"/>
        <v>182</v>
      </c>
    </row>
    <row r="7" spans="1:17">
      <c r="A7" s="6" t="s">
        <v>41</v>
      </c>
      <c r="C7" s="15">
        <v>0.999</v>
      </c>
      <c r="D7" s="15">
        <v>0.999</v>
      </c>
      <c r="E7" s="15">
        <v>0.999</v>
      </c>
      <c r="F7" s="15">
        <v>0.999</v>
      </c>
      <c r="G7" s="15">
        <v>0.999</v>
      </c>
      <c r="H7" s="15">
        <v>0.999</v>
      </c>
      <c r="I7" s="15">
        <v>0.999</v>
      </c>
      <c r="J7" s="15">
        <v>0.999</v>
      </c>
      <c r="K7" s="15">
        <v>0.999</v>
      </c>
      <c r="L7" s="15">
        <v>0.999</v>
      </c>
      <c r="M7" s="15">
        <v>0.999</v>
      </c>
      <c r="N7" s="15">
        <v>0.999</v>
      </c>
      <c r="O7" s="15">
        <v>0.999</v>
      </c>
      <c r="P7" s="15">
        <v>0.999</v>
      </c>
      <c r="Q7" s="15">
        <v>0.999</v>
      </c>
    </row>
    <row r="8" spans="1:17">
      <c r="C8" s="15">
        <f>100%-C7</f>
        <v>1.0000000000000009E-3</v>
      </c>
      <c r="D8" s="15">
        <f t="shared" ref="D8:Q8" si="2">100%-D7</f>
        <v>1.0000000000000009E-3</v>
      </c>
      <c r="E8" s="15">
        <f t="shared" si="2"/>
        <v>1.0000000000000009E-3</v>
      </c>
      <c r="F8" s="15">
        <f t="shared" si="2"/>
        <v>1.0000000000000009E-3</v>
      </c>
      <c r="G8" s="15">
        <f t="shared" si="2"/>
        <v>1.0000000000000009E-3</v>
      </c>
      <c r="H8" s="15">
        <f t="shared" si="2"/>
        <v>1.0000000000000009E-3</v>
      </c>
      <c r="I8" s="15">
        <f t="shared" si="2"/>
        <v>1.0000000000000009E-3</v>
      </c>
      <c r="J8" s="15">
        <f t="shared" si="2"/>
        <v>1.0000000000000009E-3</v>
      </c>
      <c r="K8" s="15">
        <f t="shared" si="2"/>
        <v>1.0000000000000009E-3</v>
      </c>
      <c r="L8" s="15">
        <f t="shared" si="2"/>
        <v>1.0000000000000009E-3</v>
      </c>
      <c r="M8" s="15">
        <f t="shared" si="2"/>
        <v>1.0000000000000009E-3</v>
      </c>
      <c r="N8" s="15">
        <f t="shared" si="2"/>
        <v>1.0000000000000009E-3</v>
      </c>
      <c r="O8" s="15">
        <f t="shared" si="2"/>
        <v>1.0000000000000009E-3</v>
      </c>
      <c r="P8" s="15">
        <f t="shared" si="2"/>
        <v>1.0000000000000009E-3</v>
      </c>
      <c r="Q8" s="15">
        <f t="shared" si="2"/>
        <v>1.0000000000000009E-3</v>
      </c>
    </row>
    <row r="9" spans="1:17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>
      <c r="A10" s="6" t="s">
        <v>47</v>
      </c>
      <c r="C10" s="7">
        <f>(C2*C5-C2*C4)/(-(C2*C4*C7))</f>
        <v>4.212545879212546E-2</v>
      </c>
      <c r="D10" s="7">
        <f t="shared" ref="D10:Q10" si="3">(D2*D5-D2*D4)/(-(D2*D4*D7))</f>
        <v>8.5085085085085277E-2</v>
      </c>
      <c r="E10" s="7">
        <f t="shared" si="3"/>
        <v>0.12887887887887906</v>
      </c>
      <c r="F10" s="7">
        <f t="shared" si="3"/>
        <v>0.17350684017350704</v>
      </c>
      <c r="G10" s="7">
        <f t="shared" si="3"/>
        <v>0.21896896896896917</v>
      </c>
      <c r="H10" s="7">
        <f t="shared" si="3"/>
        <v>0.26526526526526556</v>
      </c>
      <c r="I10" s="7">
        <f t="shared" si="3"/>
        <v>0.31239572906239599</v>
      </c>
      <c r="J10" s="7">
        <f t="shared" si="3"/>
        <v>0.36036036036036062</v>
      </c>
      <c r="K10" s="7">
        <f t="shared" si="3"/>
        <v>0.40915915915915946</v>
      </c>
      <c r="L10" s="7">
        <f t="shared" si="3"/>
        <v>0.45879212545879211</v>
      </c>
      <c r="M10" s="7">
        <f t="shared" si="3"/>
        <v>0.49868049868049869</v>
      </c>
      <c r="N10" s="7">
        <f t="shared" si="3"/>
        <v>0.5417538750872084</v>
      </c>
      <c r="O10" s="7">
        <f t="shared" si="3"/>
        <v>0.58801225467892138</v>
      </c>
      <c r="P10" s="7">
        <f t="shared" si="3"/>
        <v>0.63745563745563749</v>
      </c>
      <c r="Q10" s="19">
        <f t="shared" si="3"/>
        <v>0.69008402341735675</v>
      </c>
    </row>
    <row r="11" spans="1:17">
      <c r="A11" s="6" t="s">
        <v>47</v>
      </c>
      <c r="B11" s="6" t="s">
        <v>3</v>
      </c>
      <c r="C11" s="19">
        <f>C10*100</f>
        <v>4.2125458792125459</v>
      </c>
      <c r="D11" s="19">
        <f t="shared" ref="D11:Q11" si="4">D10*100</f>
        <v>8.5085085085085268</v>
      </c>
      <c r="E11" s="19">
        <f t="shared" si="4"/>
        <v>12.887887887887906</v>
      </c>
      <c r="F11" s="19">
        <f t="shared" si="4"/>
        <v>17.350684017350705</v>
      </c>
      <c r="G11" s="19">
        <f t="shared" si="4"/>
        <v>21.896896896896916</v>
      </c>
      <c r="H11" s="19">
        <f t="shared" si="4"/>
        <v>26.526526526526556</v>
      </c>
      <c r="I11" s="19">
        <f t="shared" si="4"/>
        <v>31.239572906239598</v>
      </c>
      <c r="J11" s="19">
        <f t="shared" si="4"/>
        <v>36.036036036036059</v>
      </c>
      <c r="K11" s="19">
        <f t="shared" si="4"/>
        <v>40.915915915915946</v>
      </c>
      <c r="L11" s="19">
        <f t="shared" si="4"/>
        <v>45.879212545879213</v>
      </c>
      <c r="M11" s="19">
        <f t="shared" si="4"/>
        <v>49.868049868049866</v>
      </c>
      <c r="N11" s="19">
        <f t="shared" si="4"/>
        <v>54.175387508720839</v>
      </c>
      <c r="O11" s="19">
        <f t="shared" si="4"/>
        <v>58.801225467892138</v>
      </c>
      <c r="P11" s="19">
        <f t="shared" si="4"/>
        <v>63.74556374556375</v>
      </c>
      <c r="Q11" s="19">
        <f t="shared" si="4"/>
        <v>69.008402341735675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/>
  </sheetViews>
  <sheetFormatPr defaultRowHeight="12.75"/>
  <cols>
    <col min="1" max="1" width="20.7109375" style="30" customWidth="1"/>
    <col min="2" max="6" width="20.7109375" style="47" customWidth="1"/>
    <col min="7" max="7" width="25.7109375" style="30" customWidth="1"/>
    <col min="8" max="26" width="20.7109375" style="30" customWidth="1"/>
    <col min="27" max="256" width="9.140625" style="30"/>
    <col min="257" max="257" width="21.5703125" style="30" customWidth="1"/>
    <col min="258" max="258" width="11.5703125" style="30" customWidth="1"/>
    <col min="259" max="259" width="10.28515625" style="30" customWidth="1"/>
    <col min="260" max="260" width="18.140625" style="30" customWidth="1"/>
    <col min="261" max="512" width="9.140625" style="30"/>
    <col min="513" max="513" width="21.5703125" style="30" customWidth="1"/>
    <col min="514" max="514" width="11.5703125" style="30" customWidth="1"/>
    <col min="515" max="515" width="10.28515625" style="30" customWidth="1"/>
    <col min="516" max="516" width="18.140625" style="30" customWidth="1"/>
    <col min="517" max="768" width="9.140625" style="30"/>
    <col min="769" max="769" width="21.5703125" style="30" customWidth="1"/>
    <col min="770" max="770" width="11.5703125" style="30" customWidth="1"/>
    <col min="771" max="771" width="10.28515625" style="30" customWidth="1"/>
    <col min="772" max="772" width="18.140625" style="30" customWidth="1"/>
    <col min="773" max="1024" width="9.140625" style="30"/>
    <col min="1025" max="1025" width="21.5703125" style="30" customWidth="1"/>
    <col min="1026" max="1026" width="11.5703125" style="30" customWidth="1"/>
    <col min="1027" max="1027" width="10.28515625" style="30" customWidth="1"/>
    <col min="1028" max="1028" width="18.140625" style="30" customWidth="1"/>
    <col min="1029" max="1280" width="9.140625" style="30"/>
    <col min="1281" max="1281" width="21.5703125" style="30" customWidth="1"/>
    <col min="1282" max="1282" width="11.5703125" style="30" customWidth="1"/>
    <col min="1283" max="1283" width="10.28515625" style="30" customWidth="1"/>
    <col min="1284" max="1284" width="18.140625" style="30" customWidth="1"/>
    <col min="1285" max="1536" width="9.140625" style="30"/>
    <col min="1537" max="1537" width="21.5703125" style="30" customWidth="1"/>
    <col min="1538" max="1538" width="11.5703125" style="30" customWidth="1"/>
    <col min="1539" max="1539" width="10.28515625" style="30" customWidth="1"/>
    <col min="1540" max="1540" width="18.140625" style="30" customWidth="1"/>
    <col min="1541" max="1792" width="9.140625" style="30"/>
    <col min="1793" max="1793" width="21.5703125" style="30" customWidth="1"/>
    <col min="1794" max="1794" width="11.5703125" style="30" customWidth="1"/>
    <col min="1795" max="1795" width="10.28515625" style="30" customWidth="1"/>
    <col min="1796" max="1796" width="18.140625" style="30" customWidth="1"/>
    <col min="1797" max="2048" width="9.140625" style="30"/>
    <col min="2049" max="2049" width="21.5703125" style="30" customWidth="1"/>
    <col min="2050" max="2050" width="11.5703125" style="30" customWidth="1"/>
    <col min="2051" max="2051" width="10.28515625" style="30" customWidth="1"/>
    <col min="2052" max="2052" width="18.140625" style="30" customWidth="1"/>
    <col min="2053" max="2304" width="9.140625" style="30"/>
    <col min="2305" max="2305" width="21.5703125" style="30" customWidth="1"/>
    <col min="2306" max="2306" width="11.5703125" style="30" customWidth="1"/>
    <col min="2307" max="2307" width="10.28515625" style="30" customWidth="1"/>
    <col min="2308" max="2308" width="18.140625" style="30" customWidth="1"/>
    <col min="2309" max="2560" width="9.140625" style="30"/>
    <col min="2561" max="2561" width="21.5703125" style="30" customWidth="1"/>
    <col min="2562" max="2562" width="11.5703125" style="30" customWidth="1"/>
    <col min="2563" max="2563" width="10.28515625" style="30" customWidth="1"/>
    <col min="2564" max="2564" width="18.140625" style="30" customWidth="1"/>
    <col min="2565" max="2816" width="9.140625" style="30"/>
    <col min="2817" max="2817" width="21.5703125" style="30" customWidth="1"/>
    <col min="2818" max="2818" width="11.5703125" style="30" customWidth="1"/>
    <col min="2819" max="2819" width="10.28515625" style="30" customWidth="1"/>
    <col min="2820" max="2820" width="18.140625" style="30" customWidth="1"/>
    <col min="2821" max="3072" width="9.140625" style="30"/>
    <col min="3073" max="3073" width="21.5703125" style="30" customWidth="1"/>
    <col min="3074" max="3074" width="11.5703125" style="30" customWidth="1"/>
    <col min="3075" max="3075" width="10.28515625" style="30" customWidth="1"/>
    <col min="3076" max="3076" width="18.140625" style="30" customWidth="1"/>
    <col min="3077" max="3328" width="9.140625" style="30"/>
    <col min="3329" max="3329" width="21.5703125" style="30" customWidth="1"/>
    <col min="3330" max="3330" width="11.5703125" style="30" customWidth="1"/>
    <col min="3331" max="3331" width="10.28515625" style="30" customWidth="1"/>
    <col min="3332" max="3332" width="18.140625" style="30" customWidth="1"/>
    <col min="3333" max="3584" width="9.140625" style="30"/>
    <col min="3585" max="3585" width="21.5703125" style="30" customWidth="1"/>
    <col min="3586" max="3586" width="11.5703125" style="30" customWidth="1"/>
    <col min="3587" max="3587" width="10.28515625" style="30" customWidth="1"/>
    <col min="3588" max="3588" width="18.140625" style="30" customWidth="1"/>
    <col min="3589" max="3840" width="9.140625" style="30"/>
    <col min="3841" max="3841" width="21.5703125" style="30" customWidth="1"/>
    <col min="3842" max="3842" width="11.5703125" style="30" customWidth="1"/>
    <col min="3843" max="3843" width="10.28515625" style="30" customWidth="1"/>
    <col min="3844" max="3844" width="18.140625" style="30" customWidth="1"/>
    <col min="3845" max="4096" width="9.140625" style="30"/>
    <col min="4097" max="4097" width="21.5703125" style="30" customWidth="1"/>
    <col min="4098" max="4098" width="11.5703125" style="30" customWidth="1"/>
    <col min="4099" max="4099" width="10.28515625" style="30" customWidth="1"/>
    <col min="4100" max="4100" width="18.140625" style="30" customWidth="1"/>
    <col min="4101" max="4352" width="9.140625" style="30"/>
    <col min="4353" max="4353" width="21.5703125" style="30" customWidth="1"/>
    <col min="4354" max="4354" width="11.5703125" style="30" customWidth="1"/>
    <col min="4355" max="4355" width="10.28515625" style="30" customWidth="1"/>
    <col min="4356" max="4356" width="18.140625" style="30" customWidth="1"/>
    <col min="4357" max="4608" width="9.140625" style="30"/>
    <col min="4609" max="4609" width="21.5703125" style="30" customWidth="1"/>
    <col min="4610" max="4610" width="11.5703125" style="30" customWidth="1"/>
    <col min="4611" max="4611" width="10.28515625" style="30" customWidth="1"/>
    <col min="4612" max="4612" width="18.140625" style="30" customWidth="1"/>
    <col min="4613" max="4864" width="9.140625" style="30"/>
    <col min="4865" max="4865" width="21.5703125" style="30" customWidth="1"/>
    <col min="4866" max="4866" width="11.5703125" style="30" customWidth="1"/>
    <col min="4867" max="4867" width="10.28515625" style="30" customWidth="1"/>
    <col min="4868" max="4868" width="18.140625" style="30" customWidth="1"/>
    <col min="4869" max="5120" width="9.140625" style="30"/>
    <col min="5121" max="5121" width="21.5703125" style="30" customWidth="1"/>
    <col min="5122" max="5122" width="11.5703125" style="30" customWidth="1"/>
    <col min="5123" max="5123" width="10.28515625" style="30" customWidth="1"/>
    <col min="5124" max="5124" width="18.140625" style="30" customWidth="1"/>
    <col min="5125" max="5376" width="9.140625" style="30"/>
    <col min="5377" max="5377" width="21.5703125" style="30" customWidth="1"/>
    <col min="5378" max="5378" width="11.5703125" style="30" customWidth="1"/>
    <col min="5379" max="5379" width="10.28515625" style="30" customWidth="1"/>
    <col min="5380" max="5380" width="18.140625" style="30" customWidth="1"/>
    <col min="5381" max="5632" width="9.140625" style="30"/>
    <col min="5633" max="5633" width="21.5703125" style="30" customWidth="1"/>
    <col min="5634" max="5634" width="11.5703125" style="30" customWidth="1"/>
    <col min="5635" max="5635" width="10.28515625" style="30" customWidth="1"/>
    <col min="5636" max="5636" width="18.140625" style="30" customWidth="1"/>
    <col min="5637" max="5888" width="9.140625" style="30"/>
    <col min="5889" max="5889" width="21.5703125" style="30" customWidth="1"/>
    <col min="5890" max="5890" width="11.5703125" style="30" customWidth="1"/>
    <col min="5891" max="5891" width="10.28515625" style="30" customWidth="1"/>
    <col min="5892" max="5892" width="18.140625" style="30" customWidth="1"/>
    <col min="5893" max="6144" width="9.140625" style="30"/>
    <col min="6145" max="6145" width="21.5703125" style="30" customWidth="1"/>
    <col min="6146" max="6146" width="11.5703125" style="30" customWidth="1"/>
    <col min="6147" max="6147" width="10.28515625" style="30" customWidth="1"/>
    <col min="6148" max="6148" width="18.140625" style="30" customWidth="1"/>
    <col min="6149" max="6400" width="9.140625" style="30"/>
    <col min="6401" max="6401" width="21.5703125" style="30" customWidth="1"/>
    <col min="6402" max="6402" width="11.5703125" style="30" customWidth="1"/>
    <col min="6403" max="6403" width="10.28515625" style="30" customWidth="1"/>
    <col min="6404" max="6404" width="18.140625" style="30" customWidth="1"/>
    <col min="6405" max="6656" width="9.140625" style="30"/>
    <col min="6657" max="6657" width="21.5703125" style="30" customWidth="1"/>
    <col min="6658" max="6658" width="11.5703125" style="30" customWidth="1"/>
    <col min="6659" max="6659" width="10.28515625" style="30" customWidth="1"/>
    <col min="6660" max="6660" width="18.140625" style="30" customWidth="1"/>
    <col min="6661" max="6912" width="9.140625" style="30"/>
    <col min="6913" max="6913" width="21.5703125" style="30" customWidth="1"/>
    <col min="6914" max="6914" width="11.5703125" style="30" customWidth="1"/>
    <col min="6915" max="6915" width="10.28515625" style="30" customWidth="1"/>
    <col min="6916" max="6916" width="18.140625" style="30" customWidth="1"/>
    <col min="6917" max="7168" width="9.140625" style="30"/>
    <col min="7169" max="7169" width="21.5703125" style="30" customWidth="1"/>
    <col min="7170" max="7170" width="11.5703125" style="30" customWidth="1"/>
    <col min="7171" max="7171" width="10.28515625" style="30" customWidth="1"/>
    <col min="7172" max="7172" width="18.140625" style="30" customWidth="1"/>
    <col min="7173" max="7424" width="9.140625" style="30"/>
    <col min="7425" max="7425" width="21.5703125" style="30" customWidth="1"/>
    <col min="7426" max="7426" width="11.5703125" style="30" customWidth="1"/>
    <col min="7427" max="7427" width="10.28515625" style="30" customWidth="1"/>
    <col min="7428" max="7428" width="18.140625" style="30" customWidth="1"/>
    <col min="7429" max="7680" width="9.140625" style="30"/>
    <col min="7681" max="7681" width="21.5703125" style="30" customWidth="1"/>
    <col min="7682" max="7682" width="11.5703125" style="30" customWidth="1"/>
    <col min="7683" max="7683" width="10.28515625" style="30" customWidth="1"/>
    <col min="7684" max="7684" width="18.140625" style="30" customWidth="1"/>
    <col min="7685" max="7936" width="9.140625" style="30"/>
    <col min="7937" max="7937" width="21.5703125" style="30" customWidth="1"/>
    <col min="7938" max="7938" width="11.5703125" style="30" customWidth="1"/>
    <col min="7939" max="7939" width="10.28515625" style="30" customWidth="1"/>
    <col min="7940" max="7940" width="18.140625" style="30" customWidth="1"/>
    <col min="7941" max="8192" width="9.140625" style="30"/>
    <col min="8193" max="8193" width="21.5703125" style="30" customWidth="1"/>
    <col min="8194" max="8194" width="11.5703125" style="30" customWidth="1"/>
    <col min="8195" max="8195" width="10.28515625" style="30" customWidth="1"/>
    <col min="8196" max="8196" width="18.140625" style="30" customWidth="1"/>
    <col min="8197" max="8448" width="9.140625" style="30"/>
    <col min="8449" max="8449" width="21.5703125" style="30" customWidth="1"/>
    <col min="8450" max="8450" width="11.5703125" style="30" customWidth="1"/>
    <col min="8451" max="8451" width="10.28515625" style="30" customWidth="1"/>
    <col min="8452" max="8452" width="18.140625" style="30" customWidth="1"/>
    <col min="8453" max="8704" width="9.140625" style="30"/>
    <col min="8705" max="8705" width="21.5703125" style="30" customWidth="1"/>
    <col min="8706" max="8706" width="11.5703125" style="30" customWidth="1"/>
    <col min="8707" max="8707" width="10.28515625" style="30" customWidth="1"/>
    <col min="8708" max="8708" width="18.140625" style="30" customWidth="1"/>
    <col min="8709" max="8960" width="9.140625" style="30"/>
    <col min="8961" max="8961" width="21.5703125" style="30" customWidth="1"/>
    <col min="8962" max="8962" width="11.5703125" style="30" customWidth="1"/>
    <col min="8963" max="8963" width="10.28515625" style="30" customWidth="1"/>
    <col min="8964" max="8964" width="18.140625" style="30" customWidth="1"/>
    <col min="8965" max="9216" width="9.140625" style="30"/>
    <col min="9217" max="9217" width="21.5703125" style="30" customWidth="1"/>
    <col min="9218" max="9218" width="11.5703125" style="30" customWidth="1"/>
    <col min="9219" max="9219" width="10.28515625" style="30" customWidth="1"/>
    <col min="9220" max="9220" width="18.140625" style="30" customWidth="1"/>
    <col min="9221" max="9472" width="9.140625" style="30"/>
    <col min="9473" max="9473" width="21.5703125" style="30" customWidth="1"/>
    <col min="9474" max="9474" width="11.5703125" style="30" customWidth="1"/>
    <col min="9475" max="9475" width="10.28515625" style="30" customWidth="1"/>
    <col min="9476" max="9476" width="18.140625" style="30" customWidth="1"/>
    <col min="9477" max="9728" width="9.140625" style="30"/>
    <col min="9729" max="9729" width="21.5703125" style="30" customWidth="1"/>
    <col min="9730" max="9730" width="11.5703125" style="30" customWidth="1"/>
    <col min="9731" max="9731" width="10.28515625" style="30" customWidth="1"/>
    <col min="9732" max="9732" width="18.140625" style="30" customWidth="1"/>
    <col min="9733" max="9984" width="9.140625" style="30"/>
    <col min="9985" max="9985" width="21.5703125" style="30" customWidth="1"/>
    <col min="9986" max="9986" width="11.5703125" style="30" customWidth="1"/>
    <col min="9987" max="9987" width="10.28515625" style="30" customWidth="1"/>
    <col min="9988" max="9988" width="18.140625" style="30" customWidth="1"/>
    <col min="9989" max="10240" width="9.140625" style="30"/>
    <col min="10241" max="10241" width="21.5703125" style="30" customWidth="1"/>
    <col min="10242" max="10242" width="11.5703125" style="30" customWidth="1"/>
    <col min="10243" max="10243" width="10.28515625" style="30" customWidth="1"/>
    <col min="10244" max="10244" width="18.140625" style="30" customWidth="1"/>
    <col min="10245" max="10496" width="9.140625" style="30"/>
    <col min="10497" max="10497" width="21.5703125" style="30" customWidth="1"/>
    <col min="10498" max="10498" width="11.5703125" style="30" customWidth="1"/>
    <col min="10499" max="10499" width="10.28515625" style="30" customWidth="1"/>
    <col min="10500" max="10500" width="18.140625" style="30" customWidth="1"/>
    <col min="10501" max="10752" width="9.140625" style="30"/>
    <col min="10753" max="10753" width="21.5703125" style="30" customWidth="1"/>
    <col min="10754" max="10754" width="11.5703125" style="30" customWidth="1"/>
    <col min="10755" max="10755" width="10.28515625" style="30" customWidth="1"/>
    <col min="10756" max="10756" width="18.140625" style="30" customWidth="1"/>
    <col min="10757" max="11008" width="9.140625" style="30"/>
    <col min="11009" max="11009" width="21.5703125" style="30" customWidth="1"/>
    <col min="11010" max="11010" width="11.5703125" style="30" customWidth="1"/>
    <col min="11011" max="11011" width="10.28515625" style="30" customWidth="1"/>
    <col min="11012" max="11012" width="18.140625" style="30" customWidth="1"/>
    <col min="11013" max="11264" width="9.140625" style="30"/>
    <col min="11265" max="11265" width="21.5703125" style="30" customWidth="1"/>
    <col min="11266" max="11266" width="11.5703125" style="30" customWidth="1"/>
    <col min="11267" max="11267" width="10.28515625" style="30" customWidth="1"/>
    <col min="11268" max="11268" width="18.140625" style="30" customWidth="1"/>
    <col min="11269" max="11520" width="9.140625" style="30"/>
    <col min="11521" max="11521" width="21.5703125" style="30" customWidth="1"/>
    <col min="11522" max="11522" width="11.5703125" style="30" customWidth="1"/>
    <col min="11523" max="11523" width="10.28515625" style="30" customWidth="1"/>
    <col min="11524" max="11524" width="18.140625" style="30" customWidth="1"/>
    <col min="11525" max="11776" width="9.140625" style="30"/>
    <col min="11777" max="11777" width="21.5703125" style="30" customWidth="1"/>
    <col min="11778" max="11778" width="11.5703125" style="30" customWidth="1"/>
    <col min="11779" max="11779" width="10.28515625" style="30" customWidth="1"/>
    <col min="11780" max="11780" width="18.140625" style="30" customWidth="1"/>
    <col min="11781" max="12032" width="9.140625" style="30"/>
    <col min="12033" max="12033" width="21.5703125" style="30" customWidth="1"/>
    <col min="12034" max="12034" width="11.5703125" style="30" customWidth="1"/>
    <col min="12035" max="12035" width="10.28515625" style="30" customWidth="1"/>
    <col min="12036" max="12036" width="18.140625" style="30" customWidth="1"/>
    <col min="12037" max="12288" width="9.140625" style="30"/>
    <col min="12289" max="12289" width="21.5703125" style="30" customWidth="1"/>
    <col min="12290" max="12290" width="11.5703125" style="30" customWidth="1"/>
    <col min="12291" max="12291" width="10.28515625" style="30" customWidth="1"/>
    <col min="12292" max="12292" width="18.140625" style="30" customWidth="1"/>
    <col min="12293" max="12544" width="9.140625" style="30"/>
    <col min="12545" max="12545" width="21.5703125" style="30" customWidth="1"/>
    <col min="12546" max="12546" width="11.5703125" style="30" customWidth="1"/>
    <col min="12547" max="12547" width="10.28515625" style="30" customWidth="1"/>
    <col min="12548" max="12548" width="18.140625" style="30" customWidth="1"/>
    <col min="12549" max="12800" width="9.140625" style="30"/>
    <col min="12801" max="12801" width="21.5703125" style="30" customWidth="1"/>
    <col min="12802" max="12802" width="11.5703125" style="30" customWidth="1"/>
    <col min="12803" max="12803" width="10.28515625" style="30" customWidth="1"/>
    <col min="12804" max="12804" width="18.140625" style="30" customWidth="1"/>
    <col min="12805" max="13056" width="9.140625" style="30"/>
    <col min="13057" max="13057" width="21.5703125" style="30" customWidth="1"/>
    <col min="13058" max="13058" width="11.5703125" style="30" customWidth="1"/>
    <col min="13059" max="13059" width="10.28515625" style="30" customWidth="1"/>
    <col min="13060" max="13060" width="18.140625" style="30" customWidth="1"/>
    <col min="13061" max="13312" width="9.140625" style="30"/>
    <col min="13313" max="13313" width="21.5703125" style="30" customWidth="1"/>
    <col min="13314" max="13314" width="11.5703125" style="30" customWidth="1"/>
    <col min="13315" max="13315" width="10.28515625" style="30" customWidth="1"/>
    <col min="13316" max="13316" width="18.140625" style="30" customWidth="1"/>
    <col min="13317" max="13568" width="9.140625" style="30"/>
    <col min="13569" max="13569" width="21.5703125" style="30" customWidth="1"/>
    <col min="13570" max="13570" width="11.5703125" style="30" customWidth="1"/>
    <col min="13571" max="13571" width="10.28515625" style="30" customWidth="1"/>
    <col min="13572" max="13572" width="18.140625" style="30" customWidth="1"/>
    <col min="13573" max="13824" width="9.140625" style="30"/>
    <col min="13825" max="13825" width="21.5703125" style="30" customWidth="1"/>
    <col min="13826" max="13826" width="11.5703125" style="30" customWidth="1"/>
    <col min="13827" max="13827" width="10.28515625" style="30" customWidth="1"/>
    <col min="13828" max="13828" width="18.140625" style="30" customWidth="1"/>
    <col min="13829" max="14080" width="9.140625" style="30"/>
    <col min="14081" max="14081" width="21.5703125" style="30" customWidth="1"/>
    <col min="14082" max="14082" width="11.5703125" style="30" customWidth="1"/>
    <col min="14083" max="14083" width="10.28515625" style="30" customWidth="1"/>
    <col min="14084" max="14084" width="18.140625" style="30" customWidth="1"/>
    <col min="14085" max="14336" width="9.140625" style="30"/>
    <col min="14337" max="14337" width="21.5703125" style="30" customWidth="1"/>
    <col min="14338" max="14338" width="11.5703125" style="30" customWidth="1"/>
    <col min="14339" max="14339" width="10.28515625" style="30" customWidth="1"/>
    <col min="14340" max="14340" width="18.140625" style="30" customWidth="1"/>
    <col min="14341" max="14592" width="9.140625" style="30"/>
    <col min="14593" max="14593" width="21.5703125" style="30" customWidth="1"/>
    <col min="14594" max="14594" width="11.5703125" style="30" customWidth="1"/>
    <col min="14595" max="14595" width="10.28515625" style="30" customWidth="1"/>
    <col min="14596" max="14596" width="18.140625" style="30" customWidth="1"/>
    <col min="14597" max="14848" width="9.140625" style="30"/>
    <col min="14849" max="14849" width="21.5703125" style="30" customWidth="1"/>
    <col min="14850" max="14850" width="11.5703125" style="30" customWidth="1"/>
    <col min="14851" max="14851" width="10.28515625" style="30" customWidth="1"/>
    <col min="14852" max="14852" width="18.140625" style="30" customWidth="1"/>
    <col min="14853" max="15104" width="9.140625" style="30"/>
    <col min="15105" max="15105" width="21.5703125" style="30" customWidth="1"/>
    <col min="15106" max="15106" width="11.5703125" style="30" customWidth="1"/>
    <col min="15107" max="15107" width="10.28515625" style="30" customWidth="1"/>
    <col min="15108" max="15108" width="18.140625" style="30" customWidth="1"/>
    <col min="15109" max="15360" width="9.140625" style="30"/>
    <col min="15361" max="15361" width="21.5703125" style="30" customWidth="1"/>
    <col min="15362" max="15362" width="11.5703125" style="30" customWidth="1"/>
    <col min="15363" max="15363" width="10.28515625" style="30" customWidth="1"/>
    <col min="15364" max="15364" width="18.140625" style="30" customWidth="1"/>
    <col min="15365" max="15616" width="9.140625" style="30"/>
    <col min="15617" max="15617" width="21.5703125" style="30" customWidth="1"/>
    <col min="15618" max="15618" width="11.5703125" style="30" customWidth="1"/>
    <col min="15619" max="15619" width="10.28515625" style="30" customWidth="1"/>
    <col min="15620" max="15620" width="18.140625" style="30" customWidth="1"/>
    <col min="15621" max="15872" width="9.140625" style="30"/>
    <col min="15873" max="15873" width="21.5703125" style="30" customWidth="1"/>
    <col min="15874" max="15874" width="11.5703125" style="30" customWidth="1"/>
    <col min="15875" max="15875" width="10.28515625" style="30" customWidth="1"/>
    <col min="15876" max="15876" width="18.140625" style="30" customWidth="1"/>
    <col min="15877" max="16128" width="9.140625" style="30"/>
    <col min="16129" max="16129" width="21.5703125" style="30" customWidth="1"/>
    <col min="16130" max="16130" width="11.5703125" style="30" customWidth="1"/>
    <col min="16131" max="16131" width="10.28515625" style="30" customWidth="1"/>
    <col min="16132" max="16132" width="18.140625" style="30" customWidth="1"/>
    <col min="16133" max="16384" width="9.140625" style="30"/>
  </cols>
  <sheetData>
    <row r="1" spans="1:13">
      <c r="A1" s="60" t="s">
        <v>70</v>
      </c>
    </row>
    <row r="2" spans="1:13">
      <c r="A2" s="30" t="s">
        <v>73</v>
      </c>
    </row>
    <row r="4" spans="1:13">
      <c r="A4" s="59" t="s">
        <v>68</v>
      </c>
      <c r="B4" s="59" t="s">
        <v>69</v>
      </c>
      <c r="C4" s="59"/>
      <c r="D4" s="59"/>
      <c r="E4" s="59"/>
      <c r="F4" s="30"/>
    </row>
    <row r="5" spans="1:13">
      <c r="A5" s="59" t="s">
        <v>21</v>
      </c>
      <c r="B5" s="59" t="s">
        <v>71</v>
      </c>
      <c r="C5" s="59" t="s">
        <v>20</v>
      </c>
      <c r="D5" s="59" t="s">
        <v>72</v>
      </c>
      <c r="E5" s="59" t="s">
        <v>19</v>
      </c>
      <c r="F5" s="30"/>
    </row>
    <row r="6" spans="1:13">
      <c r="A6" s="54">
        <v>40</v>
      </c>
      <c r="B6" s="55">
        <v>240</v>
      </c>
      <c r="C6" s="55">
        <f>((B6/30)/(2*A6))*100</f>
        <v>10</v>
      </c>
      <c r="D6" s="56">
        <f>B6/(2*A6)</f>
        <v>3</v>
      </c>
      <c r="E6" s="56">
        <f>B6/30</f>
        <v>8</v>
      </c>
      <c r="H6" s="48"/>
      <c r="J6" s="48"/>
      <c r="M6" s="49"/>
    </row>
    <row r="7" spans="1:13">
      <c r="A7" s="54">
        <v>130</v>
      </c>
      <c r="B7" s="55">
        <v>330</v>
      </c>
      <c r="C7" s="55">
        <f t="shared" ref="C7:C13" si="0">((B7/30)/(2*A7))*100</f>
        <v>4.2307692307692308</v>
      </c>
      <c r="D7" s="56">
        <f>B7/(2*A7)</f>
        <v>1.2692307692307692</v>
      </c>
      <c r="E7" s="56">
        <f t="shared" ref="E7:E13" si="1">B7/30</f>
        <v>11</v>
      </c>
      <c r="M7" s="49"/>
    </row>
    <row r="8" spans="1:13">
      <c r="A8" s="54">
        <v>75</v>
      </c>
      <c r="B8" s="55">
        <v>270</v>
      </c>
      <c r="C8" s="55">
        <f t="shared" si="0"/>
        <v>6</v>
      </c>
      <c r="D8" s="56">
        <f>B8/(2*A8)</f>
        <v>1.8</v>
      </c>
      <c r="E8" s="56">
        <f t="shared" si="1"/>
        <v>9</v>
      </c>
      <c r="M8" s="49"/>
    </row>
    <row r="9" spans="1:13">
      <c r="A9" s="54">
        <v>50</v>
      </c>
      <c r="B9" s="55">
        <v>240</v>
      </c>
      <c r="C9" s="55">
        <f t="shared" si="0"/>
        <v>8</v>
      </c>
      <c r="D9" s="56">
        <f t="shared" ref="D9:D13" si="2">B9/(2*A9)</f>
        <v>2.4</v>
      </c>
      <c r="E9" s="56">
        <f t="shared" si="1"/>
        <v>8</v>
      </c>
      <c r="M9" s="49"/>
    </row>
    <row r="10" spans="1:13">
      <c r="A10" s="54">
        <v>82</v>
      </c>
      <c r="B10" s="55">
        <v>290</v>
      </c>
      <c r="C10" s="55">
        <f t="shared" si="0"/>
        <v>5.8943089430894302</v>
      </c>
      <c r="D10" s="56">
        <f t="shared" si="2"/>
        <v>1.7682926829268293</v>
      </c>
      <c r="E10" s="56">
        <f>B10/30</f>
        <v>9.6666666666666661</v>
      </c>
      <c r="M10" s="49"/>
    </row>
    <row r="11" spans="1:13">
      <c r="A11" s="54">
        <v>105</v>
      </c>
      <c r="B11" s="55">
        <v>330</v>
      </c>
      <c r="C11" s="55">
        <f t="shared" si="0"/>
        <v>5.2380952380952381</v>
      </c>
      <c r="D11" s="56">
        <f t="shared" si="2"/>
        <v>1.5714285714285714</v>
      </c>
      <c r="E11" s="56">
        <f t="shared" si="1"/>
        <v>11</v>
      </c>
      <c r="M11" s="49"/>
    </row>
    <row r="12" spans="1:13">
      <c r="A12" s="54">
        <v>135</v>
      </c>
      <c r="B12" s="55">
        <v>340</v>
      </c>
      <c r="C12" s="55">
        <f t="shared" si="0"/>
        <v>4.1975308641975309</v>
      </c>
      <c r="D12" s="56">
        <f t="shared" si="2"/>
        <v>1.2592592592592593</v>
      </c>
      <c r="E12" s="56">
        <f t="shared" si="1"/>
        <v>11.333333333333334</v>
      </c>
      <c r="H12" s="48"/>
      <c r="M12" s="49"/>
    </row>
    <row r="13" spans="1:13">
      <c r="A13" s="54">
        <v>115</v>
      </c>
      <c r="B13" s="55">
        <v>340</v>
      </c>
      <c r="C13" s="55">
        <f t="shared" si="0"/>
        <v>4.9275362318840585</v>
      </c>
      <c r="D13" s="56">
        <f t="shared" si="2"/>
        <v>1.4782608695652173</v>
      </c>
      <c r="E13" s="56">
        <f t="shared" si="1"/>
        <v>11.333333333333334</v>
      </c>
      <c r="H13" s="48"/>
      <c r="M13" s="49"/>
    </row>
    <row r="14" spans="1:13">
      <c r="A14" s="30" t="s">
        <v>67</v>
      </c>
      <c r="B14" s="51"/>
      <c r="C14" s="51"/>
      <c r="D14" s="52"/>
      <c r="E14" s="53"/>
      <c r="F14" s="53"/>
      <c r="H14" s="48"/>
      <c r="M14" s="49"/>
    </row>
    <row r="15" spans="1:13">
      <c r="B15" s="51"/>
      <c r="C15" s="51"/>
      <c r="D15" s="52"/>
      <c r="E15" s="53"/>
      <c r="F15" s="53"/>
      <c r="H15" s="48"/>
      <c r="M15" s="49"/>
    </row>
    <row r="16" spans="1:13">
      <c r="B16" s="51"/>
      <c r="C16" s="51"/>
      <c r="D16" s="52"/>
      <c r="E16" s="53"/>
      <c r="F16" s="53"/>
      <c r="H16" s="48"/>
      <c r="M16" s="49"/>
    </row>
    <row r="17" spans="2:13">
      <c r="B17" s="51"/>
      <c r="C17" s="51"/>
      <c r="D17" s="52"/>
      <c r="E17" s="53"/>
      <c r="F17" s="53"/>
      <c r="H17" s="48"/>
      <c r="M17" s="49"/>
    </row>
    <row r="18" spans="2:13">
      <c r="B18" s="51"/>
      <c r="C18" s="51"/>
      <c r="D18" s="52"/>
      <c r="E18" s="53"/>
      <c r="F18" s="53"/>
      <c r="H18" s="48"/>
      <c r="M18" s="49"/>
    </row>
    <row r="19" spans="2:13">
      <c r="B19" s="51"/>
      <c r="C19" s="51"/>
      <c r="D19" s="52"/>
      <c r="E19" s="53"/>
      <c r="F19" s="53"/>
      <c r="H19" s="48"/>
      <c r="M19" s="49"/>
    </row>
    <row r="20" spans="2:13">
      <c r="B20" s="51"/>
      <c r="C20" s="51"/>
      <c r="D20" s="52"/>
      <c r="E20" s="53"/>
      <c r="F20" s="53"/>
      <c r="H20" s="48"/>
      <c r="M20" s="49"/>
    </row>
    <row r="21" spans="2:13">
      <c r="B21" s="51"/>
      <c r="C21" s="51"/>
      <c r="D21" s="52"/>
      <c r="E21" s="53"/>
      <c r="F21" s="53"/>
      <c r="H21" s="48"/>
      <c r="M21" s="49"/>
    </row>
    <row r="22" spans="2:13">
      <c r="B22" s="51"/>
      <c r="C22" s="51"/>
      <c r="D22" s="52"/>
      <c r="E22" s="53"/>
      <c r="F22" s="53"/>
      <c r="H22" s="48"/>
      <c r="M22" s="49"/>
    </row>
    <row r="23" spans="2:13">
      <c r="B23" s="51"/>
      <c r="C23" s="51"/>
      <c r="D23" s="52"/>
      <c r="E23" s="53"/>
      <c r="F23" s="53"/>
      <c r="H23" s="48"/>
      <c r="M23" s="49"/>
    </row>
    <row r="24" spans="2:13">
      <c r="B24" s="51"/>
      <c r="C24" s="51"/>
      <c r="D24" s="52"/>
      <c r="E24" s="53"/>
      <c r="F24" s="53"/>
      <c r="H24" s="48"/>
      <c r="M24" s="49"/>
    </row>
    <row r="25" spans="2:13">
      <c r="B25" s="51"/>
      <c r="C25" s="51"/>
      <c r="D25" s="52"/>
      <c r="E25" s="53"/>
      <c r="F25" s="53"/>
      <c r="H25" s="48"/>
      <c r="M25" s="49"/>
    </row>
    <row r="26" spans="2:13">
      <c r="B26" s="51"/>
      <c r="C26" s="51"/>
      <c r="D26" s="52"/>
      <c r="E26" s="53"/>
      <c r="F26" s="53"/>
      <c r="H26" s="48"/>
      <c r="M26" s="49"/>
    </row>
    <row r="27" spans="2:13">
      <c r="B27" s="51"/>
      <c r="C27" s="51"/>
      <c r="D27" s="52"/>
      <c r="E27" s="53"/>
      <c r="F27" s="53"/>
      <c r="H27" s="48"/>
      <c r="M27" s="49"/>
    </row>
    <row r="28" spans="2:13">
      <c r="B28" s="51"/>
      <c r="C28" s="51"/>
      <c r="D28" s="52"/>
      <c r="E28" s="53"/>
      <c r="F28" s="53"/>
      <c r="H28" s="48"/>
      <c r="M28" s="49"/>
    </row>
    <row r="29" spans="2:13">
      <c r="B29" s="51"/>
      <c r="C29" s="51"/>
      <c r="D29" s="52"/>
      <c r="E29" s="53"/>
      <c r="F29" s="53"/>
      <c r="H29" s="48"/>
      <c r="M29" s="49"/>
    </row>
    <row r="30" spans="2:13">
      <c r="B30" s="51"/>
      <c r="C30" s="51"/>
      <c r="D30" s="52"/>
      <c r="E30" s="53"/>
      <c r="F30" s="53"/>
      <c r="H30" s="48"/>
      <c r="M30" s="49"/>
    </row>
    <row r="31" spans="2:13">
      <c r="B31" s="51"/>
      <c r="C31" s="51"/>
      <c r="D31" s="52"/>
      <c r="E31" s="53"/>
      <c r="F31" s="53"/>
      <c r="H31" s="48"/>
      <c r="M31" s="49"/>
    </row>
    <row r="32" spans="2:13">
      <c r="B32" s="51"/>
      <c r="C32" s="51"/>
      <c r="D32" s="52"/>
      <c r="E32" s="53"/>
      <c r="F32" s="53"/>
      <c r="H32" s="48"/>
      <c r="M32" s="49"/>
    </row>
    <row r="33" spans="1:13">
      <c r="B33" s="51"/>
      <c r="C33" s="51"/>
      <c r="D33" s="52"/>
      <c r="E33" s="53"/>
      <c r="F33" s="53"/>
      <c r="H33" s="48"/>
      <c r="M33" s="49"/>
    </row>
    <row r="34" spans="1:13">
      <c r="B34" s="51"/>
      <c r="C34" s="51"/>
      <c r="D34" s="52"/>
      <c r="E34" s="53"/>
      <c r="F34" s="53"/>
      <c r="H34" s="48"/>
      <c r="M34" s="49"/>
    </row>
    <row r="35" spans="1:13">
      <c r="B35" s="51"/>
      <c r="C35" s="51"/>
      <c r="D35" s="52"/>
      <c r="E35" s="53"/>
      <c r="F35" s="53"/>
      <c r="H35" s="48"/>
      <c r="M35" s="49"/>
    </row>
    <row r="36" spans="1:13" ht="15">
      <c r="B36" s="59" t="s">
        <v>75</v>
      </c>
      <c r="C36" s="59" t="s">
        <v>78</v>
      </c>
      <c r="D36" s="59"/>
      <c r="E36" s="59"/>
      <c r="F36" s="59"/>
    </row>
    <row r="37" spans="1:13">
      <c r="B37" s="59" t="s">
        <v>21</v>
      </c>
      <c r="C37" s="59" t="s">
        <v>71</v>
      </c>
      <c r="D37" s="59" t="s">
        <v>20</v>
      </c>
      <c r="E37" s="59" t="s">
        <v>72</v>
      </c>
      <c r="F37" s="59" t="s">
        <v>19</v>
      </c>
    </row>
    <row r="38" spans="1:13" s="50" customFormat="1">
      <c r="A38" s="30" t="s">
        <v>63</v>
      </c>
      <c r="B38" s="51"/>
      <c r="C38" s="51"/>
      <c r="D38" s="52"/>
      <c r="E38" s="53"/>
      <c r="F38" s="53"/>
    </row>
    <row r="39" spans="1:13">
      <c r="A39" s="30" t="s">
        <v>52</v>
      </c>
      <c r="B39" s="57">
        <v>36.4</v>
      </c>
      <c r="C39" s="58">
        <f>B39*1.1768+189.82</f>
        <v>232.65552</v>
      </c>
      <c r="D39" s="55">
        <f>((C39/30)/(2*B39))*100</f>
        <v>10.652725274725276</v>
      </c>
      <c r="E39" s="56">
        <f>C39/(2*B39)</f>
        <v>3.1958175824175825</v>
      </c>
      <c r="F39" s="56">
        <f>C39/30</f>
        <v>7.7551839999999999</v>
      </c>
      <c r="G39" s="30" t="str">
        <f xml:space="preserve"> "= Dichtstbijzijnde installatie in Vlaanderen"</f>
        <v>= Dichtstbijzijnde installatie in Vlaanderen</v>
      </c>
      <c r="H39" s="48"/>
      <c r="I39" s="48"/>
      <c r="K39" s="46"/>
    </row>
    <row r="40" spans="1:13">
      <c r="A40" s="30" t="s">
        <v>52</v>
      </c>
      <c r="B40" s="57">
        <v>37.6</v>
      </c>
      <c r="C40" s="58">
        <f t="shared" ref="C40:C53" si="3">B40*1.1768+189.82</f>
        <v>234.06768</v>
      </c>
      <c r="D40" s="55">
        <f t="shared" ref="D40:D53" si="4">((C40/30)/(2*B40))*100</f>
        <v>10.375340425531915</v>
      </c>
      <c r="E40" s="56">
        <f t="shared" ref="E40:E53" si="5">C40/(2*B40)</f>
        <v>3.1126021276595743</v>
      </c>
      <c r="F40" s="56">
        <f t="shared" ref="F40:F53" si="6">C40/30</f>
        <v>7.8022559999999999</v>
      </c>
      <c r="H40" s="48"/>
    </row>
    <row r="41" spans="1:13">
      <c r="A41" s="30" t="s">
        <v>55</v>
      </c>
      <c r="B41" s="57">
        <v>44.6</v>
      </c>
      <c r="C41" s="58">
        <f t="shared" si="3"/>
        <v>242.30527999999998</v>
      </c>
      <c r="D41" s="55">
        <f t="shared" si="4"/>
        <v>9.0547563527653203</v>
      </c>
      <c r="E41" s="56">
        <f t="shared" si="5"/>
        <v>2.716426905829596</v>
      </c>
      <c r="F41" s="56">
        <f t="shared" si="6"/>
        <v>8.0768426666666659</v>
      </c>
      <c r="H41" s="48"/>
    </row>
    <row r="42" spans="1:13">
      <c r="A42" s="30" t="s">
        <v>52</v>
      </c>
      <c r="B42" s="57">
        <v>49.5</v>
      </c>
      <c r="C42" s="58">
        <f t="shared" si="3"/>
        <v>248.07159999999999</v>
      </c>
      <c r="D42" s="55">
        <f t="shared" si="4"/>
        <v>8.3525791245791243</v>
      </c>
      <c r="E42" s="56">
        <f t="shared" si="5"/>
        <v>2.5057737373737372</v>
      </c>
      <c r="F42" s="56">
        <f t="shared" si="6"/>
        <v>8.2690533333333338</v>
      </c>
      <c r="H42" s="48"/>
    </row>
    <row r="43" spans="1:13">
      <c r="A43" s="30" t="s">
        <v>58</v>
      </c>
      <c r="B43" s="57">
        <v>49.8</v>
      </c>
      <c r="C43" s="58">
        <f t="shared" si="3"/>
        <v>248.42464000000001</v>
      </c>
      <c r="D43" s="55">
        <f t="shared" si="4"/>
        <v>8.3140776439089699</v>
      </c>
      <c r="E43" s="56">
        <f t="shared" si="5"/>
        <v>2.4942232931726909</v>
      </c>
      <c r="F43" s="56">
        <f t="shared" si="6"/>
        <v>8.2808213333333338</v>
      </c>
      <c r="H43" s="48"/>
    </row>
    <row r="44" spans="1:13">
      <c r="A44" s="30" t="s">
        <v>52</v>
      </c>
      <c r="B44" s="57">
        <v>51.5</v>
      </c>
      <c r="C44" s="58">
        <f t="shared" si="3"/>
        <v>250.42519999999999</v>
      </c>
      <c r="D44" s="55">
        <f t="shared" si="4"/>
        <v>8.1043754045307441</v>
      </c>
      <c r="E44" s="56">
        <f t="shared" si="5"/>
        <v>2.4313126213592233</v>
      </c>
      <c r="F44" s="56">
        <f t="shared" si="6"/>
        <v>8.347506666666666</v>
      </c>
      <c r="H44" s="48"/>
    </row>
    <row r="45" spans="1:13">
      <c r="A45" s="30" t="s">
        <v>55</v>
      </c>
      <c r="B45" s="57">
        <v>51.5</v>
      </c>
      <c r="C45" s="58">
        <f t="shared" si="3"/>
        <v>250.42519999999999</v>
      </c>
      <c r="D45" s="55">
        <f t="shared" si="4"/>
        <v>8.1043754045307441</v>
      </c>
      <c r="E45" s="56">
        <f t="shared" si="5"/>
        <v>2.4313126213592233</v>
      </c>
      <c r="F45" s="56">
        <f t="shared" si="6"/>
        <v>8.347506666666666</v>
      </c>
      <c r="H45" s="48"/>
    </row>
    <row r="46" spans="1:13">
      <c r="A46" s="30" t="s">
        <v>59</v>
      </c>
      <c r="B46" s="57">
        <v>72.3</v>
      </c>
      <c r="C46" s="58">
        <f t="shared" si="3"/>
        <v>274.90264000000002</v>
      </c>
      <c r="D46" s="55">
        <f t="shared" si="4"/>
        <v>6.3370825265099127</v>
      </c>
      <c r="E46" s="56">
        <f t="shared" si="5"/>
        <v>1.901124757952974</v>
      </c>
      <c r="F46" s="56">
        <f t="shared" si="6"/>
        <v>9.1634213333333339</v>
      </c>
      <c r="H46" s="48"/>
    </row>
    <row r="47" spans="1:13">
      <c r="A47" s="30" t="s">
        <v>54</v>
      </c>
      <c r="B47" s="57">
        <v>77.400000000000006</v>
      </c>
      <c r="C47" s="58">
        <f t="shared" si="3"/>
        <v>280.90431999999998</v>
      </c>
      <c r="D47" s="55">
        <f t="shared" si="4"/>
        <v>6.0487579672695944</v>
      </c>
      <c r="E47" s="56">
        <f t="shared" si="5"/>
        <v>1.8146273901808783</v>
      </c>
      <c r="F47" s="56">
        <f t="shared" si="6"/>
        <v>9.3634773333333321</v>
      </c>
      <c r="H47" s="48"/>
    </row>
    <row r="48" spans="1:13">
      <c r="A48" s="30" t="s">
        <v>57</v>
      </c>
      <c r="B48" s="57">
        <v>81.5</v>
      </c>
      <c r="C48" s="58">
        <f t="shared" si="3"/>
        <v>285.72919999999999</v>
      </c>
      <c r="D48" s="55">
        <f t="shared" si="4"/>
        <v>5.8431329243353778</v>
      </c>
      <c r="E48" s="56">
        <f t="shared" si="5"/>
        <v>1.7529398773006135</v>
      </c>
      <c r="F48" s="56">
        <f t="shared" si="6"/>
        <v>9.524306666666666</v>
      </c>
      <c r="G48" s="46"/>
      <c r="H48" s="48"/>
    </row>
    <row r="49" spans="1:8">
      <c r="A49" s="30" t="s">
        <v>56</v>
      </c>
      <c r="B49" s="57">
        <v>104</v>
      </c>
      <c r="C49" s="58">
        <f t="shared" si="3"/>
        <v>312.2072</v>
      </c>
      <c r="D49" s="55">
        <f t="shared" si="4"/>
        <v>5.0033205128205127</v>
      </c>
      <c r="E49" s="56">
        <f t="shared" si="5"/>
        <v>1.5009961538461538</v>
      </c>
      <c r="F49" s="56">
        <f t="shared" si="6"/>
        <v>10.406906666666666</v>
      </c>
      <c r="H49" s="48"/>
    </row>
    <row r="50" spans="1:8">
      <c r="A50" s="30" t="s">
        <v>64</v>
      </c>
      <c r="B50" s="57">
        <v>113</v>
      </c>
      <c r="C50" s="58">
        <f t="shared" si="3"/>
        <v>322.79840000000002</v>
      </c>
      <c r="D50" s="55">
        <f t="shared" si="4"/>
        <v>4.7610383480825957</v>
      </c>
      <c r="E50" s="56">
        <f t="shared" si="5"/>
        <v>1.4283115044247787</v>
      </c>
      <c r="F50" s="56">
        <f t="shared" si="6"/>
        <v>10.759946666666668</v>
      </c>
      <c r="G50" s="30" t="str">
        <f xml:space="preserve"> "= Dichtstbijzijnde installatie in Wallonië"</f>
        <v>= Dichtstbijzijnde installatie in Wallonië</v>
      </c>
      <c r="H50" s="48"/>
    </row>
    <row r="51" spans="1:8">
      <c r="A51" s="30" t="s">
        <v>53</v>
      </c>
      <c r="B51" s="57">
        <v>124</v>
      </c>
      <c r="C51" s="58">
        <f t="shared" si="3"/>
        <v>335.7432</v>
      </c>
      <c r="D51" s="55">
        <f t="shared" si="4"/>
        <v>4.5126774193548389</v>
      </c>
      <c r="E51" s="56">
        <f t="shared" si="5"/>
        <v>1.3538032258064516</v>
      </c>
      <c r="F51" s="56">
        <f t="shared" si="6"/>
        <v>11.19144</v>
      </c>
      <c r="H51" s="48"/>
    </row>
    <row r="52" spans="1:8">
      <c r="A52" s="30" t="s">
        <v>65</v>
      </c>
      <c r="B52" s="57">
        <v>136</v>
      </c>
      <c r="C52" s="58">
        <f t="shared" si="3"/>
        <v>349.8648</v>
      </c>
      <c r="D52" s="55">
        <f t="shared" si="4"/>
        <v>4.2875588235294115</v>
      </c>
      <c r="E52" s="56">
        <f t="shared" si="5"/>
        <v>1.2862676470588235</v>
      </c>
      <c r="F52" s="56">
        <f t="shared" si="6"/>
        <v>11.66216</v>
      </c>
      <c r="H52" s="48"/>
    </row>
    <row r="53" spans="1:8">
      <c r="A53" s="30" t="s">
        <v>66</v>
      </c>
      <c r="B53" s="57">
        <v>136</v>
      </c>
      <c r="C53" s="58">
        <f t="shared" si="3"/>
        <v>349.8648</v>
      </c>
      <c r="D53" s="55">
        <f t="shared" si="4"/>
        <v>4.2875588235294115</v>
      </c>
      <c r="E53" s="56">
        <f t="shared" si="5"/>
        <v>1.2862676470588235</v>
      </c>
      <c r="F53" s="56">
        <f t="shared" si="6"/>
        <v>11.66216</v>
      </c>
      <c r="H53" s="48"/>
    </row>
    <row r="54" spans="1:8">
      <c r="G54" s="30" t="s">
        <v>81</v>
      </c>
      <c r="H54" s="46">
        <f>B50-B39</f>
        <v>76.599999999999994</v>
      </c>
    </row>
    <row r="55" spans="1:8">
      <c r="A55" s="30" t="s">
        <v>74</v>
      </c>
      <c r="G55" s="30" t="s">
        <v>82</v>
      </c>
      <c r="H55" s="48">
        <f>F50-F39</f>
        <v>3.004762666666668</v>
      </c>
    </row>
    <row r="56" spans="1:8">
      <c r="A56" s="30" t="s">
        <v>76</v>
      </c>
    </row>
    <row r="57" spans="1:8">
      <c r="A57" s="30" t="s">
        <v>77</v>
      </c>
      <c r="G57" s="30" t="s">
        <v>79</v>
      </c>
      <c r="H57" s="48">
        <f>(AVERAGE(F50,F52,F53))-(AVERAGE(F39:F49,F51))</f>
        <v>2.4840286666666671</v>
      </c>
    </row>
    <row r="58" spans="1:8">
      <c r="H58" s="46"/>
    </row>
    <row r="59" spans="1:8">
      <c r="H59" s="46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Scenario 1</vt:lpstr>
      <vt:lpstr>Scenario 2</vt:lpstr>
      <vt:lpstr>Scenario 2 (aangepast)</vt:lpstr>
      <vt:lpstr>Omzet, TW, bedrijfsresultaat ..</vt:lpstr>
      <vt:lpstr>Ogenblikkelijke ~ Gemiddelde</vt:lpstr>
      <vt:lpstr>Ingenomen volumes (%)</vt:lpstr>
      <vt:lpstr>Fictief vb.</vt:lpstr>
    </vt:vector>
  </TitlesOfParts>
  <Company>VITO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POLDERSC</dc:creator>
  <cp:lastModifiedBy>POLDERSC</cp:lastModifiedBy>
  <dcterms:created xsi:type="dcterms:W3CDTF">2012-03-13T13:03:20Z</dcterms:created>
  <dcterms:modified xsi:type="dcterms:W3CDTF">2012-12-04T07:59:33Z</dcterms:modified>
</cp:coreProperties>
</file>